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250" tabRatio="80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 r:id="rId34"/>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28" i="94" l="1"/>
  <c r="D10" i="98" l="1"/>
  <c r="D7" i="98"/>
  <c r="D15" i="98" l="1"/>
  <c r="H43" i="94"/>
  <c r="E43" i="94"/>
  <c r="H42" i="94"/>
  <c r="E42" i="94"/>
  <c r="H41" i="94"/>
  <c r="E41" i="94"/>
  <c r="H40" i="94"/>
  <c r="E40" i="94"/>
  <c r="H39" i="94"/>
  <c r="E39" i="94"/>
  <c r="G38" i="94"/>
  <c r="F38" i="94"/>
  <c r="D38" i="94"/>
  <c r="C38" i="94"/>
  <c r="E38" i="94" s="1"/>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E17" i="94"/>
  <c r="H16" i="94"/>
  <c r="E16" i="94"/>
  <c r="H15" i="94"/>
  <c r="E15" i="94"/>
  <c r="G14" i="94"/>
  <c r="F14" i="94"/>
  <c r="D14" i="94"/>
  <c r="C14" i="94"/>
  <c r="E14" i="94" s="1"/>
  <c r="H13" i="94"/>
  <c r="E13" i="94"/>
  <c r="H12" i="94"/>
  <c r="E12" i="94"/>
  <c r="G11" i="94"/>
  <c r="F11" i="94"/>
  <c r="D11" i="94"/>
  <c r="C11" i="94"/>
  <c r="E11" i="94" s="1"/>
  <c r="H10" i="94"/>
  <c r="E10" i="94"/>
  <c r="H9" i="94"/>
  <c r="E9" i="94"/>
  <c r="G8" i="94"/>
  <c r="F8" i="94"/>
  <c r="H8" i="94" s="1"/>
  <c r="D8" i="94"/>
  <c r="C8" i="94"/>
  <c r="E8" i="94" s="1"/>
  <c r="H7" i="94"/>
  <c r="E7" i="94"/>
  <c r="H6" i="94"/>
  <c r="E6" i="94"/>
  <c r="G21" i="96"/>
  <c r="F21" i="96"/>
  <c r="E21" i="96"/>
  <c r="D21" i="96"/>
  <c r="C21" i="96"/>
  <c r="J48" i="6"/>
  <c r="I48" i="6"/>
  <c r="C48" i="6"/>
  <c r="J44" i="6"/>
  <c r="I44" i="6"/>
  <c r="C44" i="6"/>
  <c r="J23" i="6"/>
  <c r="I23" i="6"/>
  <c r="C23" i="6"/>
  <c r="J22" i="6"/>
  <c r="I22" i="6"/>
  <c r="C22" i="6"/>
  <c r="J21" i="6"/>
  <c r="I21" i="6"/>
  <c r="C21" i="6"/>
  <c r="J20" i="6"/>
  <c r="I20" i="6"/>
  <c r="C20" i="6"/>
  <c r="J19" i="6"/>
  <c r="I19" i="6"/>
  <c r="C19" i="6"/>
  <c r="J18" i="6"/>
  <c r="I18" i="6"/>
  <c r="C18" i="6"/>
  <c r="H30" i="94" l="1"/>
  <c r="H38" i="94"/>
  <c r="H11" i="94"/>
  <c r="H14" i="94"/>
  <c r="E30" i="94"/>
  <c r="C35" i="79"/>
  <c r="C6" i="93"/>
  <c r="E6" i="93" s="1"/>
  <c r="D6" i="93"/>
  <c r="F6" i="93"/>
  <c r="H6" i="93" s="1"/>
  <c r="G6" i="93"/>
  <c r="E7" i="93"/>
  <c r="H7" i="93"/>
  <c r="E8" i="93"/>
  <c r="H8" i="93"/>
  <c r="E9" i="93"/>
  <c r="H9" i="93"/>
  <c r="E10" i="93"/>
  <c r="H10" i="93"/>
  <c r="E11" i="93"/>
  <c r="H11" i="93"/>
  <c r="E12" i="93"/>
  <c r="H12" i="93"/>
  <c r="C13" i="93"/>
  <c r="E13" i="93" s="1"/>
  <c r="D13" i="93"/>
  <c r="F13" i="93"/>
  <c r="H13" i="93" s="1"/>
  <c r="G13" i="93"/>
  <c r="E14" i="93"/>
  <c r="H14" i="93"/>
  <c r="E15" i="93"/>
  <c r="H15" i="93"/>
  <c r="E16" i="93"/>
  <c r="H16" i="93"/>
  <c r="E17" i="93"/>
  <c r="H17" i="93"/>
  <c r="E18" i="93"/>
  <c r="H18" i="93"/>
  <c r="E19" i="93"/>
  <c r="H19" i="93"/>
  <c r="E20" i="93"/>
  <c r="H20" i="93"/>
  <c r="E21" i="93"/>
  <c r="H21" i="93"/>
  <c r="E22" i="93"/>
  <c r="H22" i="93"/>
  <c r="E23" i="93"/>
  <c r="H23" i="93"/>
  <c r="E24" i="93"/>
  <c r="H24" i="93"/>
  <c r="E25" i="93"/>
  <c r="H25" i="93"/>
  <c r="E26" i="93"/>
  <c r="H26" i="93"/>
  <c r="E27" i="93"/>
  <c r="H27" i="93"/>
  <c r="E28" i="93"/>
  <c r="H28" i="93"/>
  <c r="C29" i="93"/>
  <c r="E29" i="93" s="1"/>
  <c r="D29" i="93"/>
  <c r="F29" i="93"/>
  <c r="G29" i="93"/>
  <c r="E30" i="93"/>
  <c r="H30" i="93"/>
  <c r="E31" i="93"/>
  <c r="H31" i="93"/>
  <c r="E32" i="93"/>
  <c r="H32" i="93"/>
  <c r="E33" i="93"/>
  <c r="H33" i="93"/>
  <c r="C34" i="93"/>
  <c r="E34" i="93" s="1"/>
  <c r="D34" i="93"/>
  <c r="F34" i="93"/>
  <c r="H34" i="93" s="1"/>
  <c r="G34" i="93"/>
  <c r="E35" i="93"/>
  <c r="H35" i="93"/>
  <c r="E36" i="93"/>
  <c r="H36" i="93"/>
  <c r="C37" i="93"/>
  <c r="E37" i="93" s="1"/>
  <c r="D37" i="93"/>
  <c r="F37" i="93"/>
  <c r="H37" i="93" s="1"/>
  <c r="G37" i="93"/>
  <c r="E38" i="93"/>
  <c r="H38" i="93"/>
  <c r="E39" i="93"/>
  <c r="H39" i="93"/>
  <c r="E40" i="93"/>
  <c r="H40" i="93"/>
  <c r="E41" i="93"/>
  <c r="H41" i="93"/>
  <c r="E42" i="93"/>
  <c r="H42" i="93"/>
  <c r="C43" i="93"/>
  <c r="D43" i="93"/>
  <c r="D45" i="93" s="1"/>
  <c r="G43" i="93"/>
  <c r="G45" i="93" s="1"/>
  <c r="E44" i="93"/>
  <c r="H44" i="93"/>
  <c r="E43" i="93" l="1"/>
  <c r="H29" i="93"/>
  <c r="C45" i="93"/>
  <c r="E45" i="93" s="1"/>
  <c r="F43" i="93"/>
  <c r="F45" i="93" l="1"/>
  <c r="H45" i="93" s="1"/>
  <c r="H43" i="93"/>
  <c r="L9" i="103" l="1"/>
  <c r="L33" i="102"/>
  <c r="K33" i="102"/>
  <c r="J33" i="102"/>
  <c r="I33" i="102"/>
  <c r="H33" i="102"/>
  <c r="G33" i="102"/>
  <c r="F33" i="102"/>
  <c r="E33" i="102"/>
  <c r="D33" i="102"/>
  <c r="C33" i="102"/>
  <c r="C34" i="102" s="1"/>
  <c r="F35" i="97" l="1"/>
  <c r="E35" i="97"/>
  <c r="D8" i="97"/>
  <c r="D7" i="97"/>
  <c r="F33" i="97" l="1"/>
  <c r="E33" i="97"/>
  <c r="D33" i="97"/>
  <c r="C33" i="97"/>
  <c r="H7" i="96" l="1"/>
  <c r="H8" i="96"/>
  <c r="H9" i="96"/>
  <c r="H10" i="96"/>
  <c r="H11" i="96"/>
  <c r="H12" i="96"/>
  <c r="H13" i="96"/>
  <c r="H14" i="96"/>
  <c r="H15" i="96"/>
  <c r="H16" i="96"/>
  <c r="H17" i="96"/>
  <c r="H18" i="96"/>
  <c r="H19" i="96"/>
  <c r="H20" i="96"/>
  <c r="C22" i="74"/>
  <c r="H21" i="74" l="1"/>
  <c r="H20" i="74"/>
  <c r="H19" i="74"/>
  <c r="H18" i="74"/>
  <c r="H17" i="74"/>
  <c r="H16" i="74"/>
  <c r="H15" i="74"/>
  <c r="H14" i="74"/>
  <c r="H13" i="74"/>
  <c r="H12" i="74"/>
  <c r="H11" i="74"/>
  <c r="H10" i="74"/>
  <c r="H9" i="74"/>
  <c r="H8" i="74"/>
  <c r="C27" i="69"/>
  <c r="C31" i="69"/>
  <c r="E36" i="72"/>
  <c r="E34" i="72"/>
  <c r="E33" i="72"/>
  <c r="E29" i="72"/>
  <c r="E23" i="72"/>
  <c r="E22" i="72"/>
  <c r="E20" i="72" s="1"/>
  <c r="E19" i="72"/>
  <c r="E18" i="72"/>
  <c r="E17" i="72"/>
  <c r="E15" i="72"/>
  <c r="E14" i="72"/>
  <c r="E13" i="72"/>
  <c r="E12" i="72"/>
  <c r="E11" i="72"/>
  <c r="E10" i="72"/>
  <c r="E9" i="72"/>
  <c r="U15" i="100"/>
  <c r="T15" i="100"/>
  <c r="S15" i="100"/>
  <c r="R15" i="100"/>
  <c r="Q15" i="100"/>
  <c r="P15" i="100"/>
  <c r="O15" i="100"/>
  <c r="N15" i="100"/>
  <c r="M15" i="100"/>
  <c r="L15" i="100"/>
  <c r="K15" i="100"/>
  <c r="J15" i="100"/>
  <c r="I15" i="100"/>
  <c r="H15" i="100"/>
  <c r="G15" i="100"/>
  <c r="F15" i="100"/>
  <c r="E15" i="100"/>
  <c r="D15" i="100"/>
  <c r="C15" i="100"/>
  <c r="U22" i="100"/>
  <c r="T22" i="100"/>
  <c r="S22" i="100"/>
  <c r="R22" i="100"/>
  <c r="Q22" i="100"/>
  <c r="P22" i="100"/>
  <c r="O22" i="100"/>
  <c r="N22" i="100"/>
  <c r="M22" i="100"/>
  <c r="L22" i="100"/>
  <c r="K22" i="100"/>
  <c r="J22" i="100"/>
  <c r="I22" i="100"/>
  <c r="H22" i="100"/>
  <c r="G22" i="100"/>
  <c r="F22" i="100"/>
  <c r="E22" i="100"/>
  <c r="D22" i="100"/>
  <c r="C22" i="100"/>
  <c r="U8" i="100"/>
  <c r="T8" i="100"/>
  <c r="S8" i="100"/>
  <c r="R8" i="100"/>
  <c r="Q8" i="100"/>
  <c r="P8" i="100"/>
  <c r="O8" i="100"/>
  <c r="N8" i="100"/>
  <c r="M8" i="100"/>
  <c r="L8" i="100"/>
  <c r="K8" i="100"/>
  <c r="J8" i="100"/>
  <c r="I8" i="100"/>
  <c r="H8" i="100"/>
  <c r="G8" i="100"/>
  <c r="F8" i="100"/>
  <c r="E8" i="100"/>
  <c r="D8" i="100"/>
  <c r="C8" i="100"/>
  <c r="E13" i="99"/>
  <c r="C10" i="99" l="1"/>
  <c r="C18" i="99" s="1"/>
  <c r="C19" i="99" s="1"/>
  <c r="G68" i="92" l="1"/>
  <c r="H67" i="92"/>
  <c r="E67" i="92"/>
  <c r="H66" i="92"/>
  <c r="E66" i="92"/>
  <c r="H65" i="92"/>
  <c r="E65" i="92"/>
  <c r="H64" i="92"/>
  <c r="E64" i="92"/>
  <c r="F63" i="92"/>
  <c r="H63" i="92" s="1"/>
  <c r="D63" i="92"/>
  <c r="C63" i="92"/>
  <c r="H62" i="92"/>
  <c r="E62" i="92"/>
  <c r="H61" i="92"/>
  <c r="E61" i="92"/>
  <c r="H60" i="92"/>
  <c r="E60" i="92"/>
  <c r="F59" i="92"/>
  <c r="F68" i="92" s="1"/>
  <c r="H68" i="92" s="1"/>
  <c r="D59" i="92"/>
  <c r="D68" i="92" s="1"/>
  <c r="C59" i="92"/>
  <c r="E59" i="92" s="1"/>
  <c r="H58" i="92"/>
  <c r="E58" i="92"/>
  <c r="H57" i="92"/>
  <c r="E57" i="92"/>
  <c r="H56" i="92"/>
  <c r="E56" i="92"/>
  <c r="H55" i="92"/>
  <c r="E55" i="92"/>
  <c r="H52" i="92"/>
  <c r="E52" i="92"/>
  <c r="C51" i="69" s="1"/>
  <c r="H51" i="92"/>
  <c r="E51" i="92"/>
  <c r="H50" i="92"/>
  <c r="E50" i="92"/>
  <c r="H49" i="92"/>
  <c r="E49" i="92"/>
  <c r="H48" i="92"/>
  <c r="E48" i="92"/>
  <c r="G47" i="92"/>
  <c r="F47" i="92"/>
  <c r="D47" i="92"/>
  <c r="C47" i="92"/>
  <c r="E47" i="92" s="1"/>
  <c r="H46" i="92"/>
  <c r="E46" i="92"/>
  <c r="H45" i="92"/>
  <c r="E45" i="92"/>
  <c r="H44" i="92"/>
  <c r="E44" i="92"/>
  <c r="H43" i="92"/>
  <c r="E43" i="92"/>
  <c r="H42" i="92"/>
  <c r="E42" i="92"/>
  <c r="G41" i="92"/>
  <c r="G53" i="92" s="1"/>
  <c r="G69" i="92" s="1"/>
  <c r="F41" i="92"/>
  <c r="D41" i="92"/>
  <c r="D53" i="92" s="1"/>
  <c r="D69" i="92" s="1"/>
  <c r="C41" i="92"/>
  <c r="C53" i="92" s="1"/>
  <c r="H40" i="92"/>
  <c r="E40" i="92"/>
  <c r="H39" i="92"/>
  <c r="E39" i="92"/>
  <c r="H38" i="92"/>
  <c r="E38" i="92"/>
  <c r="H35" i="92"/>
  <c r="E35" i="92"/>
  <c r="H34" i="92"/>
  <c r="E34" i="92"/>
  <c r="H33" i="92"/>
  <c r="E33" i="92"/>
  <c r="C32" i="69" s="1"/>
  <c r="H32" i="92"/>
  <c r="E32" i="92"/>
  <c r="H31" i="92"/>
  <c r="E31" i="92"/>
  <c r="C32" i="72" s="1"/>
  <c r="G30" i="92"/>
  <c r="F30" i="92"/>
  <c r="D30" i="92"/>
  <c r="C30" i="92"/>
  <c r="E30" i="92" s="1"/>
  <c r="H29" i="92"/>
  <c r="E29" i="92"/>
  <c r="C30" i="72" s="1"/>
  <c r="H28" i="92"/>
  <c r="E28" i="92"/>
  <c r="G27" i="92"/>
  <c r="F27" i="92"/>
  <c r="D27" i="92"/>
  <c r="C27" i="92"/>
  <c r="H26" i="92"/>
  <c r="E26" i="92"/>
  <c r="C27" i="72" s="1"/>
  <c r="H25" i="92"/>
  <c r="E25" i="92"/>
  <c r="C26" i="72" s="1"/>
  <c r="G24" i="92"/>
  <c r="F24" i="92"/>
  <c r="H24" i="92" s="1"/>
  <c r="E24" i="92"/>
  <c r="D24" i="92"/>
  <c r="C24" i="92"/>
  <c r="H23" i="92"/>
  <c r="E23" i="92"/>
  <c r="H22" i="92"/>
  <c r="E22" i="92"/>
  <c r="C21" i="69" s="1"/>
  <c r="H21" i="92"/>
  <c r="E21" i="92"/>
  <c r="H20" i="92"/>
  <c r="E20" i="92"/>
  <c r="G19" i="92"/>
  <c r="F19" i="92"/>
  <c r="H19" i="92" s="1"/>
  <c r="D19" i="92"/>
  <c r="C19" i="92"/>
  <c r="H18" i="92"/>
  <c r="E18" i="92"/>
  <c r="H17" i="92"/>
  <c r="E17" i="92"/>
  <c r="H16" i="92"/>
  <c r="E16" i="92"/>
  <c r="G15" i="92"/>
  <c r="H15" i="92" s="1"/>
  <c r="F15" i="92"/>
  <c r="D15" i="92"/>
  <c r="C15" i="92"/>
  <c r="E15" i="92" s="1"/>
  <c r="H14" i="92"/>
  <c r="E14" i="92"/>
  <c r="H13" i="92"/>
  <c r="E13" i="92"/>
  <c r="H12" i="92"/>
  <c r="E12" i="92"/>
  <c r="H11" i="92"/>
  <c r="E11" i="92"/>
  <c r="H10" i="92"/>
  <c r="E10" i="92"/>
  <c r="H9" i="92"/>
  <c r="E9" i="92"/>
  <c r="H8" i="92"/>
  <c r="E8" i="92"/>
  <c r="G7" i="92"/>
  <c r="G36" i="92" s="1"/>
  <c r="F7" i="92"/>
  <c r="F36" i="92" s="1"/>
  <c r="H36" i="92" s="1"/>
  <c r="D7" i="92"/>
  <c r="D36" i="92" s="1"/>
  <c r="C7" i="92"/>
  <c r="E27" i="92" l="1"/>
  <c r="H41" i="92"/>
  <c r="E19" i="92"/>
  <c r="H27" i="92"/>
  <c r="H30" i="92"/>
  <c r="C33" i="69"/>
  <c r="C35" i="72"/>
  <c r="E35" i="72" s="1"/>
  <c r="E26" i="72"/>
  <c r="C24" i="69"/>
  <c r="C30" i="69"/>
  <c r="E32" i="72"/>
  <c r="E63" i="92"/>
  <c r="E27" i="72"/>
  <c r="C25" i="69"/>
  <c r="D30" i="72"/>
  <c r="E30" i="72" s="1"/>
  <c r="C28" i="69"/>
  <c r="C36" i="92"/>
  <c r="E36" i="92" s="1"/>
  <c r="E41" i="92"/>
  <c r="H47" i="92"/>
  <c r="H59" i="92"/>
  <c r="C68" i="92"/>
  <c r="C69" i="92" s="1"/>
  <c r="E69" i="92" s="1"/>
  <c r="E53" i="92"/>
  <c r="F53" i="92"/>
  <c r="E7" i="92"/>
  <c r="H7" i="92"/>
  <c r="E68" i="92" l="1"/>
  <c r="F69" i="92"/>
  <c r="H69" i="92" s="1"/>
  <c r="H53" i="92"/>
  <c r="B1" i="92" l="1"/>
  <c r="B1" i="93"/>
  <c r="B1" i="94"/>
  <c r="B1" i="71"/>
  <c r="B1" i="52"/>
  <c r="B1" i="72"/>
  <c r="B1" i="73"/>
  <c r="B1" i="28"/>
  <c r="B1" i="77"/>
  <c r="B1" i="69"/>
  <c r="B1" i="35"/>
  <c r="B1" i="64"/>
  <c r="B1" i="74"/>
  <c r="B1" i="36"/>
  <c r="B1" i="37"/>
  <c r="B1" i="79"/>
  <c r="B1" i="80"/>
  <c r="B1" i="95"/>
  <c r="B1" i="96"/>
  <c r="B1" i="97"/>
  <c r="B1" i="98"/>
  <c r="B1" i="99"/>
  <c r="B1" i="100"/>
  <c r="B1" i="101"/>
  <c r="B1" i="102"/>
  <c r="B1" i="103"/>
  <c r="B1" i="104"/>
  <c r="B1" i="6"/>
  <c r="B2" i="92"/>
  <c r="B2" i="93"/>
  <c r="B2" i="94"/>
  <c r="B2" i="71"/>
  <c r="B2" i="52"/>
  <c r="B2" i="72"/>
  <c r="B2" i="73"/>
  <c r="B2" i="28"/>
  <c r="B2" i="77"/>
  <c r="B2" i="69"/>
  <c r="B2" i="35"/>
  <c r="B2" i="64"/>
  <c r="B2" i="74"/>
  <c r="B2" i="36"/>
  <c r="B2" i="37"/>
  <c r="B2" i="79"/>
  <c r="B2" i="80"/>
  <c r="B2" i="95"/>
  <c r="B2" i="96"/>
  <c r="B2" i="97"/>
  <c r="B2" i="98"/>
  <c r="B2" i="99"/>
  <c r="B2" i="100"/>
  <c r="B2" i="101"/>
  <c r="B2" i="102"/>
  <c r="B2" i="103"/>
  <c r="B2" i="104"/>
  <c r="B2" i="6"/>
  <c r="C22" i="95" l="1"/>
  <c r="H21" i="95"/>
  <c r="C7" i="98" l="1"/>
  <c r="C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C35" i="97" s="1"/>
  <c r="D34" i="97"/>
  <c r="E34" i="97"/>
  <c r="F34" i="97"/>
  <c r="G34" i="97"/>
  <c r="H21" i="96"/>
  <c r="H25" i="96" s="1"/>
  <c r="H22" i="96"/>
  <c r="H23" i="96"/>
  <c r="H8" i="95"/>
  <c r="H9" i="95"/>
  <c r="H10" i="95"/>
  <c r="H11" i="95"/>
  <c r="H12" i="95"/>
  <c r="H13" i="95"/>
  <c r="I12" i="96" s="1"/>
  <c r="H14" i="95"/>
  <c r="I13" i="96" s="1"/>
  <c r="H15" i="95"/>
  <c r="I14" i="96" s="1"/>
  <c r="H16" i="95"/>
  <c r="I15" i="96" s="1"/>
  <c r="H17" i="95"/>
  <c r="I16" i="96" s="1"/>
  <c r="H18" i="95"/>
  <c r="H19" i="95"/>
  <c r="H20" i="95"/>
  <c r="D22" i="95"/>
  <c r="E22" i="95"/>
  <c r="F22" i="95"/>
  <c r="G22" i="95"/>
  <c r="H22" i="95" l="1"/>
  <c r="H23" i="95" s="1"/>
  <c r="C15" i="98"/>
  <c r="C16" i="98" s="1"/>
  <c r="H34" i="97"/>
  <c r="H35" i="97" s="1"/>
  <c r="C62" i="69"/>
  <c r="C58" i="69"/>
  <c r="C67" i="69" s="1"/>
  <c r="C46" i="69"/>
  <c r="C40" i="69"/>
  <c r="C29" i="69"/>
  <c r="C26" i="69"/>
  <c r="C23" i="69"/>
  <c r="C18" i="69"/>
  <c r="C14" i="69"/>
  <c r="C35" i="69" s="1"/>
  <c r="C6" i="69"/>
  <c r="D8" i="72"/>
  <c r="E8" i="72"/>
  <c r="E37" i="72" s="1"/>
  <c r="D16" i="72"/>
  <c r="E16" i="72"/>
  <c r="D20" i="72"/>
  <c r="D25" i="72"/>
  <c r="E25" i="72"/>
  <c r="D28" i="72"/>
  <c r="E28" i="72"/>
  <c r="D31" i="72"/>
  <c r="E31" i="72"/>
  <c r="C31" i="72"/>
  <c r="C28" i="72"/>
  <c r="C25" i="72"/>
  <c r="C20" i="72"/>
  <c r="C16" i="72"/>
  <c r="C8" i="72"/>
  <c r="D37" i="72" l="1"/>
  <c r="C37" i="72"/>
  <c r="C52" i="69"/>
  <c r="C68" i="69"/>
  <c r="C69" i="69" s="1"/>
  <c r="C38" i="72" l="1"/>
  <c r="H24" i="96"/>
  <c r="G33" i="80"/>
  <c r="G24" i="80"/>
  <c r="G37" i="80" s="1"/>
  <c r="G18" i="80"/>
  <c r="G14" i="80"/>
  <c r="G11" i="80"/>
  <c r="G8" i="80"/>
  <c r="G21" i="80" s="1"/>
  <c r="G39" i="80" l="1"/>
  <c r="G6" i="71"/>
  <c r="G13" i="71" s="1"/>
  <c r="F6" i="71"/>
  <c r="F13" i="71" s="1"/>
  <c r="E6" i="71"/>
  <c r="E13" i="71" s="1"/>
  <c r="D6" i="71"/>
  <c r="D13" i="71" s="1"/>
  <c r="C6" i="71"/>
  <c r="C13" i="71" s="1"/>
  <c r="C14" i="71" s="1"/>
  <c r="C21" i="77" l="1"/>
  <c r="D16" i="77"/>
  <c r="D17" i="77"/>
  <c r="D15" i="77"/>
  <c r="D12" i="77"/>
  <c r="D13" i="77"/>
  <c r="D11" i="77"/>
  <c r="D8" i="77"/>
  <c r="D9" i="77"/>
  <c r="D7" i="77"/>
  <c r="C20" i="77"/>
  <c r="C19" i="77"/>
  <c r="D21" i="77" l="1"/>
  <c r="E21" i="77" s="1"/>
  <c r="D19" i="77"/>
  <c r="E19" i="77" s="1"/>
  <c r="D20" i="77"/>
  <c r="E20" i="77" s="1"/>
  <c r="C30" i="79"/>
  <c r="C26" i="79"/>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H21" i="37" s="1"/>
  <c r="G7" i="37"/>
  <c r="G21" i="37" s="1"/>
  <c r="F7" i="37"/>
  <c r="C7" i="37"/>
  <c r="F21" i="37" l="1"/>
  <c r="N14" i="37"/>
  <c r="E14" i="37"/>
  <c r="E7" i="37"/>
  <c r="C21" i="37"/>
  <c r="N8" i="37"/>
  <c r="E21" i="37" l="1"/>
  <c r="C12" i="79" s="1"/>
  <c r="C18" i="79" s="1"/>
  <c r="C36" i="79" s="1"/>
  <c r="C38" i="79" s="1"/>
  <c r="N7" i="37"/>
  <c r="N21" i="37" s="1"/>
  <c r="K7" i="37"/>
  <c r="K21" i="37" s="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G23" i="74" l="1"/>
  <c r="V7" i="6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C55" i="28" l="1"/>
  <c r="E29" i="28"/>
  <c r="C5" i="6"/>
  <c r="F5" i="6"/>
  <c r="K5" i="6" s="1"/>
  <c r="G5" i="71"/>
  <c r="E5" i="6"/>
  <c r="J5" i="6" s="1"/>
  <c r="D5" i="6"/>
  <c r="I5" i="6" s="1"/>
  <c r="G5" i="6"/>
  <c r="L5" i="6" s="1"/>
  <c r="C5" i="71" l="1"/>
  <c r="E5" i="71"/>
  <c r="F5" i="71"/>
  <c r="D5" i="71"/>
  <c r="E36" i="97" l="1"/>
</calcChain>
</file>

<file path=xl/sharedStrings.xml><?xml version="1.0" encoding="utf-8"?>
<sst xmlns="http://schemas.openxmlformats.org/spreadsheetml/2006/main" count="1591" uniqueCount="988">
  <si>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</si>
  <si>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</si>
  <si>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</si>
  <si>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</si>
  <si>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</si>
  <si>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</si>
  <si>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</si>
  <si>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</si>
  <si>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</si>
  <si>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</si>
  <si>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</si>
  <si>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</si>
  <si>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</si>
  <si>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</si>
  <si>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</si>
  <si>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</si>
  <si>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</si>
  <si>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</si>
  <si>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</si>
  <si>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</si>
  <si>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</si>
  <si>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</si>
  <si>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</si>
  <si>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</si>
  <si>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</si>
  <si>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</si>
  <si>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</si>
  <si>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</si>
  <si>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</si>
  <si>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</si>
  <si>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</si>
  <si>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</si>
  <si>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</si>
  <si>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</si>
  <si>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</si>
  <si>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</si>
  <si>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</si>
  <si>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</si>
  <si>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</si>
  <si>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</si>
  <si>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</si>
  <si>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</si>
  <si>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</si>
  <si>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</si>
  <si>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</si>
  <si>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</si>
  <si>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</si>
  <si>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</si>
  <si>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</si>
  <si>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</si>
  <si>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</si>
  <si>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</si>
  <si>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</si>
  <si>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</si>
  <si>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</si>
  <si>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</si>
  <si>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</si>
  <si>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</si>
  <si>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</si>
  <si>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</si>
  <si>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</si>
  <si>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</si>
  <si>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</si>
  <si>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</si>
  <si>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</si>
  <si>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</si>
  <si>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</si>
  <si>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</si>
  <si>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</si>
  <si>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</si>
  <si>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</si>
  <si>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</si>
  <si>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</si>
  <si>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</si>
  <si>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</si>
  <si>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</si>
  <si>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</si>
  <si>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</si>
  <si>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</si>
  <si>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</si>
  <si>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</si>
  <si>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</si>
  <si>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</si>
  <si>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</si>
  <si>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</si>
  <si>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</si>
  <si>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</si>
  <si>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</si>
  <si>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</si>
  <si>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</si>
  <si>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</si>
  <si>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</si>
  <si>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</si>
  <si>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</si>
  <si>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</si>
  <si>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</si>
  <si>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</si>
  <si>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</si>
  <si>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</si>
  <si>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</si>
  <si>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</si>
  <si>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</si>
  <si>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</si>
  <si>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</si>
  <si>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</si>
  <si>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</si>
  <si>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</si>
  <si>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</si>
  <si>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</si>
  <si>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</si>
  <si>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</si>
  <si>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</si>
  <si>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</si>
  <si>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</si>
  <si>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</si>
  <si>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</si>
  <si>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</si>
  <si>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</si>
  <si>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</si>
  <si>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</si>
  <si>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</si>
  <si>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</si>
  <si>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</si>
  <si>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</si>
  <si>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</si>
  <si>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</si>
  <si>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</si>
  <si>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</si>
  <si>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</si>
  <si>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</si>
  <si>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</si>
  <si>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</si>
  <si>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</si>
  <si>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</si>
  <si>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</si>
  <si>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</si>
  <si>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</si>
  <si>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</si>
  <si>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</si>
  <si>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</si>
  <si>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</si>
  <si>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</si>
  <si>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</si>
  <si>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</si>
  <si>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</si>
  <si>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</si>
  <si>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</si>
  <si>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</si>
  <si>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</si>
  <si>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</si>
  <si>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</si>
  <si>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</si>
  <si>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</si>
  <si>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</si>
  <si>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</si>
  <si>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</si>
  <si>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</si>
  <si>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</si>
  <si>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</si>
  <si>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</si>
  <si>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</si>
  <si>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</si>
  <si>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</si>
  <si>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</si>
  <si>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</si>
  <si>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</si>
  <si>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</si>
  <si>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</si>
  <si>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</si>
  <si>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</si>
  <si>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</si>
  <si>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</si>
  <si>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</si>
  <si>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</si>
  <si>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</si>
  <si>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</si>
  <si>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</si>
  <si>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</si>
  <si>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</si>
  <si>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</si>
  <si>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</si>
  <si>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</si>
  <si>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</si>
  <si>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</si>
  <si>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</si>
  <si>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</si>
  <si>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</si>
  <si>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</si>
  <si>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</si>
  <si>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</si>
  <si>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</si>
  <si>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</si>
  <si>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</si>
  <si>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</si>
  <si>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</si>
  <si>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</si>
  <si>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</si>
  <si>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</si>
  <si>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</si>
  <si>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</si>
  <si>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</si>
  <si>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</si>
  <si>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</si>
  <si>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</si>
  <si>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</si>
  <si>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</si>
  <si>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</si>
  <si>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</si>
  <si>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</si>
  <si>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</si>
  <si>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</si>
  <si>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</si>
  <si>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</si>
  <si>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</si>
  <si>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</si>
  <si>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</si>
  <si>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</si>
  <si>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</si>
  <si>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</si>
  <si>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</si>
  <si>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</si>
  <si>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</si>
  <si>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</si>
  <si>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</si>
  <si>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</si>
  <si>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</si>
  <si>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</si>
  <si>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</si>
  <si>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</si>
  <si>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</si>
  <si>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</si>
  <si>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</si>
  <si>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</si>
  <si>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</si>
  <si>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</si>
  <si>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</si>
  <si>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</si>
  <si>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</si>
  <si>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</si>
  <si>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</si>
  <si>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</si>
  <si>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</si>
  <si>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</si>
  <si>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</si>
  <si>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</si>
  <si>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</si>
  <si>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</si>
  <si>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</si>
  <si>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</si>
  <si>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</si>
  <si>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</si>
  <si>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</si>
  <si>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</si>
  <si>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</si>
  <si>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</si>
  <si>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</si>
  <si>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</si>
  <si>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</si>
  <si>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</si>
  <si>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</si>
  <si>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</si>
  <si>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</si>
  <si>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</si>
  <si>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</si>
  <si>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</si>
  <si>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</si>
  <si>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</si>
  <si>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</si>
  <si>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</si>
  <si>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</si>
  <si>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</si>
  <si>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</si>
  <si>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</si>
  <si>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</si>
  <si>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</si>
  <si>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</si>
  <si>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</si>
  <si>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</si>
  <si>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</si>
  <si>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</si>
  <si>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</si>
  <si>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</si>
  <si>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</si>
  <si>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</si>
  <si>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</si>
  <si>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</si>
  <si>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</si>
  <si>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</si>
  <si>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</si>
  <si>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</si>
  <si>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</si>
  <si>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</si>
  <si>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</si>
  <si>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</si>
  <si>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</si>
  <si>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</si>
  <si>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</si>
  <si>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</si>
  <si>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</si>
  <si>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</si>
  <si>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</si>
  <si>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</si>
  <si>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</si>
  <si>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</si>
  <si>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</si>
  <si>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</si>
  <si>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</si>
  <si>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</si>
  <si>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</si>
  <si>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</si>
  <si>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</si>
  <si>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</si>
  <si>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</si>
  <si>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</si>
  <si>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</si>
  <si>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</si>
  <si>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</si>
  <si>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</si>
  <si>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</si>
  <si>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</si>
  <si>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</si>
  <si>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</si>
  <si>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</si>
  <si>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</si>
  <si>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</si>
  <si>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</si>
  <si>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</si>
  <si>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</si>
  <si>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</si>
  <si>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</si>
  <si>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</si>
  <si>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</si>
  <si>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</si>
  <si>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</si>
  <si>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</si>
  <si>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</si>
  <si>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</si>
  <si>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</si>
  <si>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</si>
  <si>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</si>
  <si>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</si>
  <si>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</si>
  <si>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</si>
  <si>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</si>
  <si>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</si>
  <si>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</si>
  <si>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</si>
  <si>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</si>
  <si>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</si>
  <si>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</si>
  <si>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</si>
  <si>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</si>
  <si>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</si>
  <si>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</si>
  <si>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</si>
  <si>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</si>
  <si>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</si>
  <si>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</si>
  <si>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</si>
  <si>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</si>
  <si>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</si>
  <si>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</si>
  <si>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</si>
  <si>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</si>
  <si>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</si>
  <si>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</si>
  <si>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</si>
  <si>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</si>
  <si>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</si>
  <si>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</si>
  <si>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</si>
  <si>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</si>
  <si>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</si>
  <si>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</si>
  <si>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</si>
  <si>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</si>
  <si>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</si>
  <si>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</si>
  <si>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</si>
  <si>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</si>
  <si>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</si>
  <si>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</si>
  <si>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</si>
  <si>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</si>
  <si>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</si>
  <si>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</si>
  <si>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</si>
  <si>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</si>
  <si>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</si>
  <si>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</si>
  <si>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</si>
  <si>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</si>
  <si>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</si>
  <si>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</si>
  <si>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</si>
  <si>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</si>
  <si>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</si>
  <si>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</si>
  <si>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</si>
  <si>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</si>
  <si>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</si>
  <si>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</si>
  <si>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</si>
  <si>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</si>
  <si>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</si>
  <si>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</si>
  <si>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</si>
  <si>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</si>
  <si>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</si>
  <si>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</si>
  <si>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</si>
  <si>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</si>
  <si>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</si>
  <si>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</si>
  <si>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</si>
  <si>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</si>
  <si>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</si>
  <si>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</si>
  <si>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</si>
  <si>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</si>
  <si>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</si>
  <si>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</si>
  <si>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</si>
  <si>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</si>
  <si>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</si>
  <si>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</si>
  <si>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</si>
  <si>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</si>
  <si>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</si>
  <si>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</si>
  <si>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</si>
  <si>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</si>
  <si>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</si>
  <si>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</si>
  <si>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</si>
  <si>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</si>
  <si>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</si>
  <si>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</si>
  <si>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</si>
  <si>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</si>
  <si>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</si>
  <si>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</si>
  <si>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</si>
  <si>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</si>
  <si>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</si>
  <si>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</si>
  <si>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</si>
  <si>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</si>
  <si>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</si>
  <si>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</si>
  <si>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</si>
  <si>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</si>
  <si>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</si>
  <si>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</si>
  <si>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</si>
  <si>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</si>
  <si>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</si>
  <si>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</si>
  <si>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</si>
  <si>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</si>
  <si>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</si>
  <si>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</si>
  <si>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</si>
  <si>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</si>
  <si>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</si>
  <si>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</si>
  <si>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</si>
  <si>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</si>
  <si>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</si>
  <si>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</si>
  <si>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</si>
  <si>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</si>
  <si>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</si>
  <si>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</si>
  <si>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</si>
  <si>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</si>
  <si>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</si>
  <si>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</si>
  <si>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</si>
  <si>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</si>
  <si>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</si>
  <si>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</si>
  <si>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</si>
  <si>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</si>
  <si>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</si>
  <si>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</si>
  <si>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</si>
  <si>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</si>
  <si>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</si>
  <si>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</si>
  <si>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</si>
  <si>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</si>
  <si>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</si>
  <si>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</si>
  <si>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</si>
  <si>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</si>
  <si>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</si>
  <si>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</si>
  <si>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</si>
  <si>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</si>
  <si>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</si>
  <si>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</si>
  <si>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</si>
  <si>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</si>
  <si>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</si>
  <si>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</si>
  <si>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</si>
  <si>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</si>
  <si>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</si>
  <si>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</si>
  <si>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</si>
  <si>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</si>
  <si>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</si>
  <si>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</si>
  <si>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</si>
  <si>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</si>
  <si>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</si>
  <si>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</si>
  <si>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</si>
  <si>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</si>
  <si>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</si>
  <si>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</si>
  <si>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</si>
  <si>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</si>
  <si>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</si>
  <si>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</si>
  <si>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</si>
  <si>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</si>
  <si>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</si>
  <si>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</si>
  <si>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</si>
  <si>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</si>
  <si>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</si>
  <si>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</si>
  <si>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</si>
  <si>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</si>
  <si>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</si>
  <si>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</si>
  <si>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</si>
  <si>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</si>
  <si>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</si>
  <si>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</si>
  <si>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</si>
  <si>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</si>
  <si>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</si>
  <si>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</si>
  <si>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</si>
  <si>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</si>
  <si>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</si>
  <si>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</si>
  <si>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</si>
  <si>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</si>
  <si>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</si>
  <si>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</si>
  <si>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</si>
  <si>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</si>
  <si>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</si>
  <si>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</si>
  <si>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</si>
  <si>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</si>
  <si>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</si>
  <si>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</si>
  <si>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</si>
  <si>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</si>
  <si>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</si>
  <si>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</si>
  <si>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</si>
  <si>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</si>
  <si>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</si>
  <si>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</si>
  <si>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</si>
  <si>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</si>
  <si>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</si>
  <si>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</si>
  <si>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</si>
  <si>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</si>
  <si>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</si>
  <si>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</si>
  <si>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</si>
  <si>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</si>
  <si>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</si>
  <si>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</si>
  <si>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</si>
  <si>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</si>
  <si>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</si>
  <si>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</si>
  <si>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</si>
  <si>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</si>
  <si>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</si>
  <si>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</si>
  <si>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</si>
  <si>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</si>
  <si>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</si>
  <si>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</si>
  <si>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</si>
  <si>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</si>
  <si>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</si>
  <si>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</si>
  <si>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</si>
  <si>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</si>
  <si>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</si>
  <si>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</si>
  <si>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</si>
  <si>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</si>
  <si>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</si>
  <si>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</si>
  <si>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</si>
  <si>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</si>
  <si>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</si>
  <si>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</si>
  <si>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</si>
  <si>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</si>
  <si>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</si>
  <si>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</si>
  <si>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</si>
  <si>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</si>
  <si>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</si>
  <si>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</si>
  <si>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</si>
  <si>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</si>
  <si>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</si>
  <si>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</si>
  <si>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</si>
  <si>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</si>
  <si>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</si>
  <si>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</si>
  <si>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</si>
  <si>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</si>
  <si>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</si>
  <si>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</si>
  <si>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</si>
  <si>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</si>
  <si>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</si>
  <si>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</si>
  <si>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</si>
  <si>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</si>
  <si>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</si>
  <si>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</si>
  <si>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</si>
  <si>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</si>
  <si>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</si>
  <si>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</si>
  <si>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</si>
  <si>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</si>
  <si>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</si>
  <si>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</si>
  <si>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</si>
  <si>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</si>
  <si>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</si>
  <si>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</si>
  <si>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</si>
  <si>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</si>
  <si>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</si>
  <si>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</si>
  <si>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</si>
  <si>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</si>
  <si>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</si>
  <si>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</si>
  <si>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</si>
  <si>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</si>
  <si>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</si>
  <si>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</si>
  <si>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</si>
  <si>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</si>
  <si>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</si>
  <si>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</si>
  <si>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</si>
  <si>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</si>
  <si>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</si>
  <si>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</si>
  <si>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</si>
  <si>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</si>
  <si>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</si>
  <si>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</si>
  <si>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</si>
  <si>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</si>
  <si>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</si>
  <si>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</si>
  <si>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</si>
  <si>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</si>
  <si>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</si>
  <si>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</si>
  <si>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</si>
  <si>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</si>
  <si>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</si>
  <si>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</si>
  <si>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</si>
  <si>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</si>
  <si>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</si>
  <si>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</si>
  <si>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</si>
  <si>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</si>
  <si>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</si>
  <si>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</si>
  <si>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</si>
  <si>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</si>
  <si>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</si>
  <si>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</si>
  <si>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</si>
  <si>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</si>
  <si>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</si>
  <si>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</si>
  <si>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</si>
  <si>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</si>
  <si>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</si>
  <si>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</si>
  <si>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</si>
  <si>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</si>
  <si>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</si>
  <si>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</si>
  <si>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</si>
  <si>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</si>
  <si>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</si>
  <si>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</si>
  <si>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</si>
  <si>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</si>
  <si>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</si>
  <si>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</si>
  <si>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</si>
  <si>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</si>
  <si>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</si>
  <si>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</si>
  <si>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</si>
  <si>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</si>
  <si>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</si>
  <si>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</si>
  <si>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</si>
  <si>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</si>
  <si>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</si>
  <si>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</si>
  <si>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</si>
  <si>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</si>
  <si>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</si>
  <si>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</si>
  <si>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</si>
  <si>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</si>
  <si>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</si>
  <si>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</si>
  <si>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</si>
  <si>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</si>
  <si>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</si>
  <si>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</si>
  <si>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</si>
  <si>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</si>
  <si>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</si>
  <si>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</si>
  <si>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</si>
  <si>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</si>
  <si>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</si>
  <si>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</si>
  <si>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</si>
  <si>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</si>
  <si>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</si>
  <si>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</si>
  <si>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</si>
  <si>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</si>
  <si>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</si>
  <si>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</si>
  <si>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</si>
  <si>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</si>
  <si>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</si>
  <si>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</si>
  <si>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</si>
  <si>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</si>
  <si>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</si>
  <si>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</si>
  <si>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</si>
  <si>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</si>
  <si>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</si>
  <si>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</si>
  <si>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</si>
  <si>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</si>
  <si>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</si>
  <si>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</si>
  <si>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</si>
  <si>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</si>
  <si>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</si>
  <si>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</si>
  <si>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</si>
  <si>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</si>
  <si>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</si>
  <si>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</si>
  <si>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</si>
  <si>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</si>
  <si>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</si>
  <si>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</si>
  <si>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</si>
  <si>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</si>
  <si>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</si>
  <si>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</si>
  <si>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</si>
  <si>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</si>
  <si>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</si>
  <si>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</si>
  <si>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</si>
  <si>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</si>
  <si>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</si>
  <si>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</si>
  <si>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</si>
  <si>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</si>
  <si>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</si>
  <si>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</si>
  <si>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</si>
  <si>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</si>
  <si>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</si>
  <si>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</si>
  <si>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</si>
  <si>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</si>
  <si>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</si>
  <si>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</si>
  <si>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</si>
  <si>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</si>
  <si>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</si>
  <si>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</si>
  <si>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</si>
  <si>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</si>
  <si>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</si>
  <si>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</si>
  <si>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</si>
  <si>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</si>
  <si>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</si>
  <si>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</si>
  <si>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</si>
  <si>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</si>
  <si>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</si>
  <si>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</si>
  <si>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</si>
  <si>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</si>
  <si>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</si>
  <si>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</si>
  <si>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</si>
  <si>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</si>
  <si>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</si>
  <si>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</si>
  <si>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</si>
  <si>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</si>
  <si>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</si>
  <si>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</si>
  <si>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</si>
  <si>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</si>
  <si>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</si>
  <si>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</si>
  <si>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</si>
  <si>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</si>
  <si>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</si>
  <si>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</si>
  <si>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</si>
  <si>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</si>
  <si>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</si>
  <si>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</si>
  <si>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</si>
  <si>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</si>
  <si>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</si>
  <si>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</si>
  <si>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</si>
  <si>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</si>
  <si>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</si>
  <si>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</si>
  <si>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</si>
  <si>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</si>
  <si>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</si>
  <si>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</si>
  <si>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</si>
  <si>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</si>
  <si>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</si>
  <si>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</si>
  <si>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</si>
  <si>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</si>
  <si>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</si>
  <si>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</si>
  <si>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</si>
  <si>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</si>
  <si>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</si>
  <si>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</si>
  <si>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</si>
  <si>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</si>
  <si>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</si>
  <si>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</si>
  <si>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</si>
  <si>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</si>
  <si>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</si>
  <si>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</si>
  <si>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</si>
  <si>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</si>
  <si>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</si>
  <si>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</si>
  <si>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</si>
  <si>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</si>
  <si>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</si>
  <si>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</si>
  <si>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</si>
  <si>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</si>
  <si>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</si>
  <si>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</si>
  <si>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</si>
  <si>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</si>
  <si>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</si>
  <si>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</si>
  <si>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</si>
  <si>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</si>
  <si>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</si>
  <si>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</si>
  <si>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</si>
  <si>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</si>
  <si>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</si>
  <si>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</si>
  <si>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</si>
  <si>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</si>
  <si>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</si>
  <si>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</si>
  <si>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</si>
  <si>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</si>
  <si>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</si>
  <si>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</si>
  <si>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</si>
  <si>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</si>
  <si>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</si>
  <si>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</si>
  <si>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</si>
  <si>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</si>
  <si>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</si>
  <si>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</si>
  <si>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</si>
  <si>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</si>
  <si>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</si>
  <si>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</si>
  <si>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</si>
  <si>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</si>
  <si>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</si>
  <si>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</si>
  <si>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</si>
  <si>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</si>
  <si>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</si>
  <si>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</si>
  <si>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</si>
  <si>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</si>
  <si>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</si>
  <si>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</si>
  <si>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</si>
  <si>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</si>
  <si>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</si>
  <si>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</si>
  <si>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</si>
  <si>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</si>
  <si>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</si>
  <si>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</si>
  <si>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</si>
  <si>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</si>
  <si>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</si>
  <si>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</si>
  <si>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</si>
  <si>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</si>
  <si>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</si>
  <si>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</si>
  <si>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</si>
  <si>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</si>
  <si>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</si>
  <si>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</si>
  <si>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</si>
  <si>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</si>
  <si>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JSC "VTB Bank (Georgia)"</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</si>
  <si>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</si>
  <si>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</si>
  <si>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</si>
  <si>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</si>
  <si>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</si>
  <si>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</si>
  <si>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</si>
  <si>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</si>
  <si>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იულია კოპიტოვა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</si>
  <si>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</si>
  <si>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</si>
  <si>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</si>
  <si>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</si>
  <si>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</si>
  <si>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</si>
  <si>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</si>
  <si>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</si>
  <si>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</si>
  <si>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</si>
  <si>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</si>
  <si>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</si>
  <si>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</si>
  <si>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</si>
  <si>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</si>
  <si>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xml:space="preserve">
</t>
  </si>
  <si>
    <t xml:space="preserve">"საქართველოს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</si>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</sst>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0.000%"/>
  </numFmts>
  <fonts count="14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0"/>
      <color theme="1"/>
      <name val="Arial"/>
      <family val="2"/>
    </font>
    <font>
      <sz val="11"/>
      <color theme="1"/>
      <name val="Arial"/>
      <family val="2"/>
    </font>
    <font>
      <sz val="9"/>
      <color rgb="FFFF0000"/>
      <name val="Sylfaen"/>
      <family val="1"/>
    </font>
    <font>
      <b/>
      <sz val="6"/>
      <color theme="1"/>
      <name val="Calibri"/>
      <family val="2"/>
      <scheme val="minor"/>
    </font>
    <font>
      <sz val="9"/>
      <color rgb="FFFF0000"/>
      <name val="Calibri"/>
      <family val="1"/>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s>
  <borders count="17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186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71" fontId="25" fillId="37" borderId="0"/>
    <xf numFmtId="172" fontId="25" fillId="37" borderId="0"/>
    <xf numFmtId="171" fontId="25" fillId="37" borderId="0"/>
    <xf numFmtId="0" fontId="26" fillId="38"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0" fontId="31" fillId="39" borderId="0" applyNumberFormat="0" applyBorder="0" applyAlignment="0" applyProtection="0"/>
    <xf numFmtId="173" fontId="34"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4" fontId="36" fillId="0" borderId="0" applyFill="0" applyBorder="0" applyAlignment="0"/>
    <xf numFmtId="174" fontId="36"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5" fontId="36"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5" fontId="36"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3"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0" fontId="47" fillId="0" borderId="0" applyNumberFormat="0" applyFill="0" applyBorder="0" applyAlignment="0" applyProtection="0"/>
    <xf numFmtId="171" fontId="2" fillId="0" borderId="0"/>
    <xf numFmtId="0" fontId="2" fillId="0" borderId="0"/>
    <xf numFmtId="171"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1"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1" fontId="53" fillId="0" borderId="9">
      <alignment horizontal="left" vertical="center"/>
    </xf>
    <xf numFmtId="0"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0" fontId="56" fillId="0" borderId="0" applyNumberFormat="0" applyFill="0" applyBorder="0" applyAlignment="0" applyProtection="0"/>
    <xf numFmtId="37" fontId="57" fillId="0" borderId="0"/>
    <xf numFmtId="171" fontId="58" fillId="0" borderId="0"/>
    <xf numFmtId="0" fontId="58" fillId="0" borderId="0"/>
    <xf numFmtId="171" fontId="58" fillId="0" borderId="0"/>
    <xf numFmtId="171" fontId="53" fillId="0" borderId="0"/>
    <xf numFmtId="0" fontId="53" fillId="0" borderId="0"/>
    <xf numFmtId="171" fontId="53" fillId="0" borderId="0"/>
    <xf numFmtId="171" fontId="59" fillId="0" borderId="0"/>
    <xf numFmtId="0" fontId="59" fillId="0" borderId="0"/>
    <xf numFmtId="171" fontId="59"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1" fontId="63" fillId="0" borderId="0" applyNumberFormat="0" applyFill="0" applyBorder="0" applyAlignment="0" applyProtection="0">
      <alignment vertical="top"/>
      <protection locked="0"/>
    </xf>
    <xf numFmtId="171"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0" fontId="68" fillId="0" borderId="44"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0" fontId="71" fillId="73" borderId="0" applyNumberFormat="0" applyBorder="0" applyAlignment="0" applyProtection="0"/>
    <xf numFmtId="1" fontId="74" fillId="0" borderId="0" applyProtection="0"/>
    <xf numFmtId="171" fontId="25" fillId="0" borderId="45"/>
    <xf numFmtId="172" fontId="25" fillId="0" borderId="45"/>
    <xf numFmtId="171"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5" fillId="0" borderId="0"/>
    <xf numFmtId="184" fontId="2"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0" fontId="76" fillId="0" borderId="0"/>
    <xf numFmtId="0" fontId="75" fillId="0" borderId="0"/>
    <xf numFmtId="182" fontId="27" fillId="0" borderId="0"/>
    <xf numFmtId="182" fontId="2" fillId="0" borderId="0"/>
    <xf numFmtId="182" fontId="2" fillId="0" borderId="0"/>
    <xf numFmtId="0" fontId="2" fillId="0" borderId="0"/>
    <xf numFmtId="0" fontId="2"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7"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7" fillId="0" borderId="0"/>
    <xf numFmtId="0" fontId="27" fillId="0" borderId="0"/>
    <xf numFmtId="171"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71" fontId="27" fillId="0" borderId="0"/>
    <xf numFmtId="0" fontId="27" fillId="0" borderId="0"/>
    <xf numFmtId="0" fontId="27"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182" fontId="27" fillId="0" borderId="0"/>
    <xf numFmtId="182" fontId="27"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27" fillId="0" borderId="0"/>
    <xf numFmtId="182" fontId="27" fillId="0" borderId="0"/>
    <xf numFmtId="182" fontId="27" fillId="0" borderId="0"/>
    <xf numFmtId="182"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4" fillId="0" borderId="0"/>
    <xf numFmtId="0" fontId="27" fillId="0" borderId="0"/>
    <xf numFmtId="0" fontId="2" fillId="0" borderId="0"/>
    <xf numFmtId="0" fontId="26" fillId="0" borderId="0"/>
    <xf numFmtId="171" fontId="24" fillId="0" borderId="0"/>
    <xf numFmtId="0" fontId="2"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7" fillId="0" borderId="0"/>
    <xf numFmtId="0" fontId="27" fillId="0" borderId="0"/>
    <xf numFmtId="171" fontId="24" fillId="0" borderId="0"/>
    <xf numFmtId="0" fontId="64" fillId="0" borderId="0"/>
    <xf numFmtId="0" fontId="2" fillId="0" borderId="0"/>
    <xf numFmtId="171" fontId="24" fillId="0" borderId="0"/>
    <xf numFmtId="0" fontId="1"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182" fontId="2" fillId="0" borderId="0"/>
    <xf numFmtId="0" fontId="2" fillId="0" borderId="0"/>
    <xf numFmtId="182" fontId="2" fillId="0" borderId="0"/>
    <xf numFmtId="0" fontId="2" fillId="0" borderId="0"/>
    <xf numFmtId="182"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182"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82" fontId="2"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5" fillId="0" borderId="0"/>
    <xf numFmtId="0" fontId="8"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2" fontId="8" fillId="0" borderId="0"/>
    <xf numFmtId="0" fontId="25" fillId="0" borderId="0"/>
    <xf numFmtId="182"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5" fillId="0" borderId="0"/>
    <xf numFmtId="182" fontId="8"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1" fontId="25" fillId="0" borderId="0"/>
    <xf numFmtId="0" fontId="75"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71" fontId="8" fillId="0" borderId="0"/>
    <xf numFmtId="0" fontId="75" fillId="0" borderId="0"/>
    <xf numFmtId="171"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2"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2"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5"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182" fontId="25" fillId="0" borderId="0"/>
    <xf numFmtId="182" fontId="25"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3" fillId="0" borderId="0"/>
    <xf numFmtId="0" fontId="2" fillId="0" borderId="0"/>
    <xf numFmtId="0" fontId="75" fillId="0" borderId="0"/>
    <xf numFmtId="171" fontId="43"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2"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2"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1"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171"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0"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81" fillId="0" borderId="0"/>
    <xf numFmtId="0" fontId="81" fillId="0" borderId="0"/>
    <xf numFmtId="171"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24" fillId="0" borderId="0"/>
    <xf numFmtId="178" fontId="36" fillId="0" borderId="0" applyFont="0" applyFill="0" applyBorder="0" applyAlignment="0" applyProtection="0"/>
    <xf numFmtId="18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xf numFmtId="0" fontId="2" fillId="0" borderId="0"/>
    <xf numFmtId="171" fontId="2" fillId="0" borderId="0"/>
    <xf numFmtId="190"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87" fillId="0" borderId="0"/>
    <xf numFmtId="0" fontId="24" fillId="0" borderId="0"/>
    <xf numFmtId="0" fontId="88" fillId="0" borderId="0"/>
    <xf numFmtId="0" fontId="88" fillId="0" borderId="0"/>
    <xf numFmtId="171" fontId="24" fillId="0" borderId="0"/>
    <xf numFmtId="171"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2" fontId="36" fillId="0" borderId="0" applyFill="0" applyBorder="0" applyAlignment="0"/>
    <xf numFmtId="193" fontId="36" fillId="0" borderId="0" applyFill="0" applyBorder="0" applyAlignment="0"/>
    <xf numFmtId="0" fontId="91" fillId="0" borderId="0">
      <alignment horizontal="center" vertical="top"/>
    </xf>
    <xf numFmtId="0"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24" fillId="0" borderId="49"/>
    <xf numFmtId="188" fontId="80"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5" fillId="0" borderId="0" applyFont="0" applyFill="0" applyBorder="0" applyAlignment="0" applyProtection="0"/>
    <xf numFmtId="195"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6"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2"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91" fontId="2" fillId="70" borderId="99" applyFont="0">
      <alignment horizontal="right" vertical="center"/>
    </xf>
    <xf numFmtId="3" fontId="2" fillId="70" borderId="99" applyFont="0">
      <alignment horizontal="right" vertical="center"/>
    </xf>
    <xf numFmtId="0" fontId="82"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2"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3" fontId="2" fillId="75" borderId="99" applyFont="0">
      <alignment horizontal="right" vertical="center"/>
      <protection locked="0"/>
    </xf>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3" fontId="2" fillId="72" borderId="99" applyFont="0">
      <alignment horizontal="right" vertical="center"/>
      <protection locked="0"/>
    </xf>
    <xf numFmtId="0" fontId="65"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2"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2" fillId="71" borderId="100" applyNumberFormat="0" applyFont="0" applyBorder="0" applyProtection="0">
      <alignment horizontal="left" vertical="center"/>
    </xf>
    <xf numFmtId="9" fontId="2" fillId="71" borderId="99" applyFont="0" applyProtection="0">
      <alignment horizontal="right" vertical="center"/>
    </xf>
    <xf numFmtId="3" fontId="2" fillId="71" borderId="99" applyFont="0" applyProtection="0">
      <alignment horizontal="right" vertical="center"/>
    </xf>
    <xf numFmtId="0" fontId="61" fillId="70" borderId="100" applyFont="0" applyBorder="0">
      <alignment horizontal="center" wrapText="1"/>
    </xf>
    <xf numFmtId="171" fontId="53" fillId="0" borderId="97">
      <alignment horizontal="left" vertical="center"/>
    </xf>
    <xf numFmtId="0" fontId="53" fillId="0" borderId="97">
      <alignment horizontal="left" vertical="center"/>
    </xf>
    <xf numFmtId="0" fontId="53" fillId="0" borderId="97">
      <alignment horizontal="left" vertical="center"/>
    </xf>
    <xf numFmtId="0" fontId="2" fillId="69" borderId="99" applyNumberFormat="0" applyFont="0" applyBorder="0" applyProtection="0">
      <alignment horizontal="center" vertical="center"/>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7"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2"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1" fillId="0" borderId="0"/>
    <xf numFmtId="172" fontId="25" fillId="37" borderId="0"/>
    <xf numFmtId="0" fontId="2" fillId="0" borderId="0">
      <alignment vertical="center"/>
    </xf>
    <xf numFmtId="169" fontId="1" fillId="0" borderId="0" applyFont="0" applyFill="0" applyBorder="0" applyAlignment="0" applyProtection="0"/>
    <xf numFmtId="0" fontId="127" fillId="0" borderId="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171" fontId="39"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171" fontId="39"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172" fontId="39"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0" fontId="37" fillId="64" borderId="163" applyNumberFormat="0" applyAlignment="0" applyProtection="0"/>
    <xf numFmtId="171" fontId="39" fillId="64" borderId="163" applyNumberFormat="0" applyAlignment="0" applyProtection="0"/>
    <xf numFmtId="172" fontId="39" fillId="64" borderId="163" applyNumberFormat="0" applyAlignment="0" applyProtection="0"/>
    <xf numFmtId="171" fontId="39" fillId="64" borderId="163" applyNumberFormat="0" applyAlignment="0" applyProtection="0"/>
    <xf numFmtId="171" fontId="39" fillId="64" borderId="163" applyNumberFormat="0" applyAlignment="0" applyProtection="0"/>
    <xf numFmtId="172" fontId="39" fillId="64" borderId="163" applyNumberFormat="0" applyAlignment="0" applyProtection="0"/>
    <xf numFmtId="171" fontId="39" fillId="64" borderId="163" applyNumberFormat="0" applyAlignment="0" applyProtection="0"/>
    <xf numFmtId="171" fontId="39" fillId="64" borderId="163" applyNumberFormat="0" applyAlignment="0" applyProtection="0"/>
    <xf numFmtId="172" fontId="39" fillId="64" borderId="163" applyNumberFormat="0" applyAlignment="0" applyProtection="0"/>
    <xf numFmtId="171" fontId="39" fillId="64" borderId="163" applyNumberFormat="0" applyAlignment="0" applyProtection="0"/>
    <xf numFmtId="171" fontId="39" fillId="64" borderId="163" applyNumberFormat="0" applyAlignment="0" applyProtection="0"/>
    <xf numFmtId="172" fontId="39" fillId="64" borderId="163" applyNumberFormat="0" applyAlignment="0" applyProtection="0"/>
    <xf numFmtId="171" fontId="39" fillId="64" borderId="163" applyNumberFormat="0" applyAlignment="0" applyProtection="0"/>
    <xf numFmtId="0" fontId="37" fillId="64" borderId="163" applyNumberFormat="0" applyAlignment="0" applyProtection="0"/>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2" fillId="69" borderId="148" applyNumberFormat="0" applyFont="0" applyBorder="0" applyProtection="0">
      <alignment horizontal="center" vertical="center"/>
    </xf>
    <xf numFmtId="0" fontId="53" fillId="0" borderId="153">
      <alignment horizontal="left" vertical="center"/>
    </xf>
    <xf numFmtId="0" fontId="53" fillId="0" borderId="153">
      <alignment horizontal="left" vertical="center"/>
    </xf>
    <xf numFmtId="171" fontId="53" fillId="0" borderId="153">
      <alignment horizontal="left" vertical="center"/>
    </xf>
    <xf numFmtId="0" fontId="61" fillId="70" borderId="151"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51" applyNumberFormat="0" applyFont="0" applyBorder="0" applyProtection="0">
      <alignment horizontal="left" vertical="center"/>
    </xf>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171" fontId="67"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171" fontId="67"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172" fontId="67"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0" fontId="65" fillId="43" borderId="163" applyNumberFormat="0" applyAlignment="0" applyProtection="0"/>
    <xf numFmtId="171" fontId="67" fillId="43" borderId="163" applyNumberFormat="0" applyAlignment="0" applyProtection="0"/>
    <xf numFmtId="172" fontId="67" fillId="43" borderId="163" applyNumberFormat="0" applyAlignment="0" applyProtection="0"/>
    <xf numFmtId="171" fontId="67" fillId="43" borderId="163" applyNumberFormat="0" applyAlignment="0" applyProtection="0"/>
    <xf numFmtId="171" fontId="67" fillId="43" borderId="163" applyNumberFormat="0" applyAlignment="0" applyProtection="0"/>
    <xf numFmtId="172" fontId="67" fillId="43" borderId="163" applyNumberFormat="0" applyAlignment="0" applyProtection="0"/>
    <xf numFmtId="171" fontId="67" fillId="43" borderId="163" applyNumberFormat="0" applyAlignment="0" applyProtection="0"/>
    <xf numFmtId="171" fontId="67" fillId="43" borderId="163" applyNumberFormat="0" applyAlignment="0" applyProtection="0"/>
    <xf numFmtId="172" fontId="67" fillId="43" borderId="163" applyNumberFormat="0" applyAlignment="0" applyProtection="0"/>
    <xf numFmtId="171" fontId="67" fillId="43" borderId="163" applyNumberFormat="0" applyAlignment="0" applyProtection="0"/>
    <xf numFmtId="171" fontId="67" fillId="43" borderId="163" applyNumberFormat="0" applyAlignment="0" applyProtection="0"/>
    <xf numFmtId="172" fontId="67" fillId="43" borderId="163" applyNumberFormat="0" applyAlignment="0" applyProtection="0"/>
    <xf numFmtId="171" fontId="67" fillId="43" borderId="163" applyNumberFormat="0" applyAlignment="0" applyProtection="0"/>
    <xf numFmtId="0" fontId="65" fillId="43" borderId="163" applyNumberFormat="0" applyAlignment="0" applyProtection="0"/>
    <xf numFmtId="3" fontId="2" fillId="72" borderId="148" applyFont="0">
      <alignment horizontal="right" vertical="center"/>
      <protection locked="0"/>
    </xf>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6" fillId="74" borderId="164" applyNumberFormat="0" applyFont="0" applyAlignment="0" applyProtection="0"/>
    <xf numFmtId="0" fontId="2"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6"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0" fontId="2" fillId="74" borderId="164" applyNumberFormat="0" applyFont="0" applyAlignment="0" applyProtection="0"/>
    <xf numFmtId="3" fontId="2" fillId="75" borderId="148" applyFont="0">
      <alignment horizontal="right" vertical="center"/>
      <protection locked="0"/>
    </xf>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171" fontId="84"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171" fontId="84"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172" fontId="84"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0" fontId="82" fillId="64" borderId="165" applyNumberFormat="0" applyAlignment="0" applyProtection="0"/>
    <xf numFmtId="171" fontId="84" fillId="64" borderId="165" applyNumberFormat="0" applyAlignment="0" applyProtection="0"/>
    <xf numFmtId="172" fontId="84" fillId="64" borderId="165" applyNumberFormat="0" applyAlignment="0" applyProtection="0"/>
    <xf numFmtId="171" fontId="84" fillId="64" borderId="165" applyNumberFormat="0" applyAlignment="0" applyProtection="0"/>
    <xf numFmtId="171" fontId="84" fillId="64" borderId="165" applyNumberFormat="0" applyAlignment="0" applyProtection="0"/>
    <xf numFmtId="172" fontId="84" fillId="64" borderId="165" applyNumberFormat="0" applyAlignment="0" applyProtection="0"/>
    <xf numFmtId="171" fontId="84" fillId="64" borderId="165" applyNumberFormat="0" applyAlignment="0" applyProtection="0"/>
    <xf numFmtId="171" fontId="84" fillId="64" borderId="165" applyNumberFormat="0" applyAlignment="0" applyProtection="0"/>
    <xf numFmtId="172" fontId="84" fillId="64" borderId="165" applyNumberFormat="0" applyAlignment="0" applyProtection="0"/>
    <xf numFmtId="171" fontId="84" fillId="64" borderId="165" applyNumberFormat="0" applyAlignment="0" applyProtection="0"/>
    <xf numFmtId="171" fontId="84" fillId="64" borderId="165" applyNumberFormat="0" applyAlignment="0" applyProtection="0"/>
    <xf numFmtId="172" fontId="84" fillId="64" borderId="165" applyNumberFormat="0" applyAlignment="0" applyProtection="0"/>
    <xf numFmtId="171" fontId="84" fillId="64" borderId="165" applyNumberFormat="0" applyAlignment="0" applyProtection="0"/>
    <xf numFmtId="0" fontId="82" fillId="64" borderId="165" applyNumberFormat="0" applyAlignment="0" applyProtection="0"/>
    <xf numFmtId="3" fontId="2" fillId="70" borderId="148" applyFont="0">
      <alignment horizontal="right" vertical="center"/>
    </xf>
    <xf numFmtId="191" fontId="2" fillId="70" borderId="148" applyFont="0">
      <alignment horizontal="right" vertical="center"/>
    </xf>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171" fontId="93"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171" fontId="93"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172" fontId="93"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0" fontId="46" fillId="0" borderId="166" applyNumberFormat="0" applyFill="0" applyAlignment="0" applyProtection="0"/>
    <xf numFmtId="171" fontId="93" fillId="0" borderId="166" applyNumberFormat="0" applyFill="0" applyAlignment="0" applyProtection="0"/>
    <xf numFmtId="172" fontId="93" fillId="0" borderId="166" applyNumberFormat="0" applyFill="0" applyAlignment="0" applyProtection="0"/>
    <xf numFmtId="171" fontId="93" fillId="0" borderId="166" applyNumberFormat="0" applyFill="0" applyAlignment="0" applyProtection="0"/>
    <xf numFmtId="171" fontId="93" fillId="0" borderId="166" applyNumberFormat="0" applyFill="0" applyAlignment="0" applyProtection="0"/>
    <xf numFmtId="172" fontId="93" fillId="0" borderId="166" applyNumberFormat="0" applyFill="0" applyAlignment="0" applyProtection="0"/>
    <xf numFmtId="171" fontId="93" fillId="0" borderId="166" applyNumberFormat="0" applyFill="0" applyAlignment="0" applyProtection="0"/>
    <xf numFmtId="171" fontId="93" fillId="0" borderId="166" applyNumberFormat="0" applyFill="0" applyAlignment="0" applyProtection="0"/>
    <xf numFmtId="172" fontId="93" fillId="0" borderId="166" applyNumberFormat="0" applyFill="0" applyAlignment="0" applyProtection="0"/>
    <xf numFmtId="171" fontId="93" fillId="0" borderId="166" applyNumberFormat="0" applyFill="0" applyAlignment="0" applyProtection="0"/>
    <xf numFmtId="171" fontId="93" fillId="0" borderId="166" applyNumberFormat="0" applyFill="0" applyAlignment="0" applyProtection="0"/>
    <xf numFmtId="172" fontId="93" fillId="0" borderId="166" applyNumberFormat="0" applyFill="0" applyAlignment="0" applyProtection="0"/>
    <xf numFmtId="171" fontId="93" fillId="0" borderId="166" applyNumberFormat="0" applyFill="0" applyAlignment="0" applyProtection="0"/>
    <xf numFmtId="0" fontId="46" fillId="0" borderId="166" applyNumberFormat="0" applyFill="0" applyAlignment="0" applyProtection="0"/>
    <xf numFmtId="0" fontId="1" fillId="0" borderId="0"/>
    <xf numFmtId="43" fontId="1" fillId="0" borderId="0" applyFont="0" applyFill="0" applyBorder="0" applyAlignment="0" applyProtection="0"/>
  </cellStyleXfs>
  <cellXfs count="985">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167"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8"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8"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70" fontId="22" fillId="0" borderId="60" xfId="0" applyNumberFormat="1" applyFont="1" applyBorder="1" applyAlignment="1">
      <alignment horizontal="center"/>
    </xf>
    <xf numFmtId="170" fontId="22" fillId="0" borderId="58" xfId="0" applyNumberFormat="1" applyFont="1" applyBorder="1" applyAlignment="1">
      <alignment horizontal="center"/>
    </xf>
    <xf numFmtId="170" fontId="18" fillId="0" borderId="58" xfId="0" applyNumberFormat="1" applyFont="1" applyBorder="1" applyAlignment="1">
      <alignment horizontal="center"/>
    </xf>
    <xf numFmtId="170" fontId="22" fillId="0" borderId="61" xfId="0" applyNumberFormat="1" applyFont="1" applyBorder="1" applyAlignment="1">
      <alignment horizontal="center"/>
    </xf>
    <xf numFmtId="170" fontId="22"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7"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79" xfId="0" applyNumberFormat="1" applyFont="1" applyFill="1" applyBorder="1" applyAlignment="1">
      <alignment horizontal="right" vertical="center"/>
    </xf>
    <xf numFmtId="49" fontId="104" fillId="0" borderId="84"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4"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6" fontId="0" fillId="36" borderId="18" xfId="0" applyNumberFormat="1" applyFill="1" applyBorder="1" applyAlignment="1">
      <alignment horizontal="center" vertical="center"/>
    </xf>
    <xf numFmtId="196" fontId="0" fillId="0" borderId="20" xfId="0" applyNumberFormat="1" applyBorder="1" applyAlignment="1"/>
    <xf numFmtId="196" fontId="0" fillId="0" borderId="20" xfId="0" applyNumberFormat="1" applyBorder="1" applyAlignment="1">
      <alignment wrapText="1"/>
    </xf>
    <xf numFmtId="196" fontId="0" fillId="36" borderId="20" xfId="0" applyNumberFormat="1" applyFill="1" applyBorder="1" applyAlignment="1">
      <alignment horizontal="center" vertical="center" wrapText="1"/>
    </xf>
    <xf numFmtId="196" fontId="0" fillId="36" borderId="24" xfId="0" applyNumberFormat="1" applyFill="1" applyBorder="1" applyAlignment="1">
      <alignment horizontal="center" vertical="center" wrapText="1"/>
    </xf>
    <xf numFmtId="196" fontId="7" fillId="36" borderId="20" xfId="2" applyNumberFormat="1" applyFont="1" applyFill="1" applyBorder="1" applyAlignment="1" applyProtection="1">
      <alignment vertical="top"/>
    </xf>
    <xf numFmtId="196" fontId="7" fillId="3" borderId="20" xfId="2" applyNumberFormat="1" applyFont="1" applyFill="1" applyBorder="1" applyAlignment="1" applyProtection="1">
      <alignment vertical="top"/>
      <protection locked="0"/>
    </xf>
    <xf numFmtId="196" fontId="7" fillId="36" borderId="20" xfId="2" applyNumberFormat="1" applyFont="1" applyFill="1" applyBorder="1" applyAlignment="1" applyProtection="1">
      <alignment vertical="top" wrapText="1"/>
    </xf>
    <xf numFmtId="196" fontId="7" fillId="3" borderId="20" xfId="2" applyNumberFormat="1" applyFont="1" applyFill="1" applyBorder="1" applyAlignment="1" applyProtection="1">
      <alignment vertical="top" wrapText="1"/>
      <protection locked="0"/>
    </xf>
    <xf numFmtId="196" fontId="7" fillId="36" borderId="20" xfId="2" applyNumberFormat="1" applyFont="1" applyFill="1" applyBorder="1" applyAlignment="1" applyProtection="1">
      <alignment vertical="top" wrapText="1"/>
      <protection locked="0"/>
    </xf>
    <xf numFmtId="196" fontId="7" fillId="36" borderId="24" xfId="2" applyNumberFormat="1" applyFont="1" applyFill="1" applyBorder="1" applyAlignment="1" applyProtection="1">
      <alignment vertical="top" wrapText="1"/>
    </xf>
    <xf numFmtId="196" fontId="4" fillId="36" borderId="23" xfId="0" applyNumberFormat="1" applyFont="1" applyFill="1" applyBorder="1"/>
    <xf numFmtId="196" fontId="4" fillId="36" borderId="51" xfId="0" applyNumberFormat="1" applyFont="1" applyFill="1" applyBorder="1" applyAlignment="1"/>
    <xf numFmtId="196" fontId="4" fillId="36" borderId="22" xfId="0" applyNumberFormat="1" applyFont="1" applyFill="1" applyBorder="1"/>
    <xf numFmtId="196" fontId="4" fillId="36" borderId="24" xfId="0" applyNumberFormat="1" applyFont="1" applyFill="1" applyBorder="1"/>
    <xf numFmtId="196" fontId="4" fillId="36" borderId="52" xfId="0" applyNumberFormat="1" applyFont="1" applyFill="1" applyBorder="1"/>
    <xf numFmtId="196" fontId="9" fillId="36" borderId="3" xfId="5" applyNumberFormat="1" applyFont="1" applyFill="1" applyBorder="1" applyProtection="1">
      <protection locked="0"/>
    </xf>
    <xf numFmtId="196" fontId="9" fillId="3" borderId="3" xfId="5" applyNumberFormat="1" applyFont="1" applyFill="1" applyBorder="1" applyProtection="1">
      <protection locked="0"/>
    </xf>
    <xf numFmtId="196" fontId="10" fillId="36" borderId="23" xfId="16" applyNumberFormat="1" applyFont="1" applyFill="1" applyBorder="1" applyAlignment="1" applyProtection="1">
      <protection locked="0"/>
    </xf>
    <xf numFmtId="196" fontId="9" fillId="36" borderId="3" xfId="1" applyNumberFormat="1" applyFont="1" applyFill="1" applyBorder="1" applyProtection="1">
      <protection locked="0"/>
    </xf>
    <xf numFmtId="196" fontId="9" fillId="0" borderId="3" xfId="1" applyNumberFormat="1" applyFont="1" applyFill="1" applyBorder="1" applyProtection="1">
      <protection locked="0"/>
    </xf>
    <xf numFmtId="196" fontId="10" fillId="36" borderId="23" xfId="1" applyNumberFormat="1" applyFont="1" applyFill="1" applyBorder="1" applyAlignment="1" applyProtection="1">
      <protection locked="0"/>
    </xf>
    <xf numFmtId="196" fontId="9" fillId="3" borderId="23" xfId="5" applyNumberFormat="1" applyFont="1" applyFill="1" applyBorder="1" applyProtection="1">
      <protection locked="0"/>
    </xf>
    <xf numFmtId="196"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70"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2" fontId="25" fillId="37" borderId="0" xfId="20" applyBorder="1"/>
    <xf numFmtId="172" fontId="25" fillId="37" borderId="92"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72" fontId="25" fillId="37" borderId="29" xfId="20" applyBorder="1"/>
    <xf numFmtId="172" fontId="25" fillId="37" borderId="111" xfId="20" applyBorder="1"/>
    <xf numFmtId="172" fontId="25" fillId="37" borderId="101" xfId="20" applyBorder="1"/>
    <xf numFmtId="172" fontId="25" fillId="37"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4"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72" fontId="25" fillId="37"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6" borderId="117" xfId="0" applyFont="1" applyFill="1" applyBorder="1" applyAlignment="1">
      <alignment vertical="center" wrapText="1"/>
    </xf>
    <xf numFmtId="196"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6" xfId="0" applyFont="1" applyFill="1" applyBorder="1" applyAlignment="1">
      <alignment horizontal="left" vertical="center" wrapText="1"/>
    </xf>
    <xf numFmtId="0" fontId="6" fillId="36" borderId="99" xfId="0" applyFont="1" applyFill="1" applyBorder="1" applyAlignment="1">
      <alignment horizontal="left" vertical="center" wrapText="1"/>
    </xf>
    <xf numFmtId="0" fontId="6" fillId="36"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7" fillId="0" borderId="116" xfId="0" applyFont="1" applyFill="1" applyBorder="1" applyAlignment="1">
      <alignment horizontal="right" vertical="center" wrapText="1"/>
    </xf>
    <xf numFmtId="0" fontId="107"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6" xfId="0" applyFont="1" applyBorder="1" applyAlignment="1">
      <alignment horizontal="center" vertical="center" wrapText="1"/>
    </xf>
    <xf numFmtId="3" fontId="20" fillId="36" borderId="99" xfId="0" applyNumberFormat="1" applyFont="1" applyFill="1" applyBorder="1" applyAlignment="1">
      <alignment vertical="center" wrapText="1"/>
    </xf>
    <xf numFmtId="3" fontId="20" fillId="36"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7"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1"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7"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19" fillId="0" borderId="116" xfId="0" applyFont="1" applyFill="1" applyBorder="1" applyAlignment="1">
      <alignment horizontal="center" vertical="center" wrapText="1"/>
    </xf>
    <xf numFmtId="0" fontId="110" fillId="78" borderId="100" xfId="21412" applyFont="1" applyFill="1" applyBorder="1" applyAlignment="1" applyProtection="1">
      <alignment vertical="center" wrapText="1"/>
      <protection locked="0"/>
    </xf>
    <xf numFmtId="0" fontId="111" fillId="70" borderId="94" xfId="21412" applyFont="1" applyFill="1" applyBorder="1" applyAlignment="1" applyProtection="1">
      <alignment horizontal="center" vertical="center"/>
      <protection locked="0"/>
    </xf>
    <xf numFmtId="0" fontId="110"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vertical="center"/>
      <protection locked="0"/>
    </xf>
    <xf numFmtId="0" fontId="112" fillId="70" borderId="94" xfId="21412" applyFont="1" applyFill="1" applyBorder="1" applyAlignment="1" applyProtection="1">
      <alignment horizontal="center" vertical="center"/>
      <protection locked="0"/>
    </xf>
    <xf numFmtId="0" fontId="112" fillId="3" borderId="94" xfId="21412" applyFont="1" applyFill="1" applyBorder="1" applyAlignment="1" applyProtection="1">
      <alignment horizontal="center" vertical="center"/>
      <protection locked="0"/>
    </xf>
    <xf numFmtId="0" fontId="112" fillId="0" borderId="94" xfId="21412" applyFont="1" applyFill="1" applyBorder="1" applyAlignment="1" applyProtection="1">
      <alignment horizontal="center" vertical="center"/>
      <protection locked="0"/>
    </xf>
    <xf numFmtId="0" fontId="113"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horizontal="center" vertical="center"/>
      <protection locked="0"/>
    </xf>
    <xf numFmtId="0" fontId="61" fillId="78" borderId="100" xfId="21412" applyFont="1" applyFill="1" applyBorder="1" applyAlignment="1" applyProtection="1">
      <alignment vertical="center"/>
      <protection locked="0"/>
    </xf>
    <xf numFmtId="0" fontId="112" fillId="70" borderId="99" xfId="21412" applyFont="1" applyFill="1" applyBorder="1" applyAlignment="1" applyProtection="1">
      <alignment horizontal="center" vertical="center"/>
      <protection locked="0"/>
    </xf>
    <xf numFmtId="0" fontId="35" fillId="70" borderId="99" xfId="21412" applyFont="1" applyFill="1" applyBorder="1" applyAlignment="1" applyProtection="1">
      <alignment horizontal="center" vertical="center"/>
      <protection locked="0"/>
    </xf>
    <xf numFmtId="0" fontId="61" fillId="78" borderId="98" xfId="21412" applyFont="1" applyFill="1" applyBorder="1" applyAlignment="1" applyProtection="1">
      <alignment vertical="center"/>
      <protection locked="0"/>
    </xf>
    <xf numFmtId="0" fontId="111" fillId="0" borderId="98" xfId="21412" applyFont="1" applyFill="1" applyBorder="1" applyAlignment="1" applyProtection="1">
      <alignment horizontal="left" vertical="center" wrapText="1"/>
      <protection locked="0"/>
    </xf>
    <xf numFmtId="167" fontId="111" fillId="0" borderId="99" xfId="948" applyNumberFormat="1" applyFont="1" applyFill="1" applyBorder="1" applyAlignment="1" applyProtection="1">
      <alignment horizontal="right" vertical="center"/>
      <protection locked="0"/>
    </xf>
    <xf numFmtId="0" fontId="110" fillId="79" borderId="98" xfId="21412" applyFont="1" applyFill="1" applyBorder="1" applyAlignment="1" applyProtection="1">
      <alignment vertical="top" wrapText="1"/>
      <protection locked="0"/>
    </xf>
    <xf numFmtId="167" fontId="111" fillId="79" borderId="99" xfId="948" applyNumberFormat="1" applyFont="1" applyFill="1" applyBorder="1" applyAlignment="1" applyProtection="1">
      <alignment horizontal="right" vertical="center"/>
    </xf>
    <xf numFmtId="167" fontId="61" fillId="78" borderId="98" xfId="948" applyNumberFormat="1" applyFont="1" applyFill="1" applyBorder="1" applyAlignment="1" applyProtection="1">
      <alignment horizontal="right" vertical="center"/>
      <protection locked="0"/>
    </xf>
    <xf numFmtId="0" fontId="111" fillId="70" borderId="98" xfId="21412" applyFont="1" applyFill="1" applyBorder="1" applyAlignment="1" applyProtection="1">
      <alignment vertical="center" wrapText="1"/>
      <protection locked="0"/>
    </xf>
    <xf numFmtId="0" fontId="111" fillId="70" borderId="98" xfId="21412" applyFont="1" applyFill="1" applyBorder="1" applyAlignment="1" applyProtection="1">
      <alignment horizontal="left" vertical="center" wrapText="1"/>
      <protection locked="0"/>
    </xf>
    <xf numFmtId="0" fontId="111" fillId="0" borderId="98" xfId="21412" applyFont="1" applyFill="1" applyBorder="1" applyAlignment="1" applyProtection="1">
      <alignment vertical="center" wrapText="1"/>
      <protection locked="0"/>
    </xf>
    <xf numFmtId="0" fontId="111" fillId="3" borderId="98" xfId="21412" applyFont="1" applyFill="1" applyBorder="1" applyAlignment="1" applyProtection="1">
      <alignment horizontal="left" vertical="center" wrapText="1"/>
      <protection locked="0"/>
    </xf>
    <xf numFmtId="0" fontId="110" fillId="79" borderId="98" xfId="21412" applyFont="1" applyFill="1" applyBorder="1" applyAlignment="1" applyProtection="1">
      <alignment vertical="center" wrapText="1"/>
      <protection locked="0"/>
    </xf>
    <xf numFmtId="167" fontId="110" fillId="78" borderId="98" xfId="948" applyNumberFormat="1" applyFont="1" applyFill="1" applyBorder="1" applyAlignment="1" applyProtection="1">
      <alignment horizontal="right" vertical="center"/>
      <protection locked="0"/>
    </xf>
    <xf numFmtId="167" fontId="111" fillId="3" borderId="99" xfId="948" applyNumberFormat="1" applyFont="1" applyFill="1" applyBorder="1" applyAlignment="1" applyProtection="1">
      <alignment horizontal="right" vertical="center"/>
      <protection locked="0"/>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left" vertical="center" wrapText="1"/>
    </xf>
    <xf numFmtId="10" fontId="107" fillId="0" borderId="99" xfId="20961" applyNumberFormat="1" applyFont="1" applyFill="1" applyBorder="1" applyAlignment="1">
      <alignment horizontal="left" vertical="center" wrapText="1"/>
    </xf>
    <xf numFmtId="10" fontId="6" fillId="36"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0" fillId="36" borderId="100"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6"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7" fontId="4" fillId="0" borderId="99" xfId="7" applyNumberFormat="1" applyFont="1" applyBorder="1"/>
    <xf numFmtId="167" fontId="4" fillId="0" borderId="114" xfId="7" applyNumberFormat="1" applyFont="1" applyBorder="1"/>
    <xf numFmtId="0" fontId="14" fillId="0" borderId="99" xfId="0" applyFont="1" applyBorder="1" applyAlignment="1">
      <alignment horizontal="left" wrapText="1" indent="2"/>
    </xf>
    <xf numFmtId="172" fontId="25" fillId="37" borderId="99" xfId="20" applyBorder="1"/>
    <xf numFmtId="167"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7" fontId="6" fillId="0" borderId="114" xfId="7" applyNumberFormat="1" applyFont="1" applyBorder="1"/>
    <xf numFmtId="0" fontId="3" fillId="3" borderId="63"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2" xfId="7" applyNumberFormat="1" applyFont="1" applyFill="1" applyBorder="1"/>
    <xf numFmtId="167" fontId="4" fillId="0" borderId="99" xfId="7" applyNumberFormat="1" applyFont="1" applyFill="1" applyBorder="1"/>
    <xf numFmtId="167"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2" fontId="25" fillId="37"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4" fillId="0" borderId="86" xfId="0" applyFont="1" applyFill="1" applyBorder="1" applyAlignment="1">
      <alignment horizontal="left" vertical="center"/>
    </xf>
    <xf numFmtId="0" fontId="104" fillId="0" borderId="84" xfId="0" applyFont="1" applyFill="1" applyBorder="1" applyAlignment="1">
      <alignment vertical="center" wrapText="1"/>
    </xf>
    <xf numFmtId="0" fontId="104" fillId="0" borderId="84"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30" xfId="0" applyNumberFormat="1" applyFont="1" applyFill="1" applyBorder="1" applyAlignment="1">
      <alignment horizontal="left" vertical="center" wrapText="1"/>
    </xf>
    <xf numFmtId="0" fontId="123" fillId="0" borderId="0" xfId="0" applyFont="1"/>
    <xf numFmtId="49" fontId="104" fillId="0" borderId="99"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6" fontId="7" fillId="3" borderId="114"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8" fillId="3" borderId="99" xfId="21414" applyFont="1" applyFill="1" applyBorder="1" applyAlignment="1">
      <alignment horizontal="left" vertical="center" wrapText="1"/>
    </xf>
    <xf numFmtId="0" fontId="129" fillId="0" borderId="99" xfId="21414" applyFont="1" applyFill="1" applyBorder="1" applyAlignment="1">
      <alignment horizontal="left" vertical="center" wrapText="1" indent="1"/>
    </xf>
    <xf numFmtId="0" fontId="130" fillId="3" borderId="99" xfId="21414" applyFont="1" applyFill="1" applyBorder="1" applyAlignment="1">
      <alignment horizontal="left" vertical="center" wrapText="1"/>
    </xf>
    <xf numFmtId="0" fontId="129" fillId="3" borderId="99" xfId="21414" applyFont="1" applyFill="1" applyBorder="1" applyAlignment="1">
      <alignment horizontal="left" vertical="center" wrapText="1" indent="1"/>
    </xf>
    <xf numFmtId="0" fontId="128" fillId="0" borderId="137" xfId="0" applyFont="1" applyFill="1" applyBorder="1" applyAlignment="1">
      <alignment horizontal="left" vertical="center" wrapText="1"/>
    </xf>
    <xf numFmtId="0" fontId="130" fillId="0" borderId="137" xfId="0" applyFont="1" applyFill="1" applyBorder="1" applyAlignment="1">
      <alignment horizontal="left" vertical="center" wrapText="1"/>
    </xf>
    <xf numFmtId="0" fontId="131" fillId="3"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30" fillId="3" borderId="138" xfId="0" applyFont="1" applyFill="1" applyBorder="1" applyAlignment="1">
      <alignment horizontal="left" vertical="center" wrapText="1"/>
    </xf>
    <xf numFmtId="0" fontId="131" fillId="0" borderId="137" xfId="0" applyFont="1" applyFill="1" applyBorder="1" applyAlignment="1">
      <alignment horizontal="left" vertical="center" wrapText="1" indent="1"/>
    </xf>
    <xf numFmtId="0" fontId="131" fillId="0" borderId="99" xfId="21414" applyFont="1" applyFill="1" applyBorder="1" applyAlignment="1">
      <alignment horizontal="left" vertical="center" wrapText="1" indent="1"/>
    </xf>
    <xf numFmtId="0" fontId="130" fillId="0" borderId="99" xfId="21414" applyFont="1" applyFill="1" applyBorder="1" applyAlignment="1">
      <alignment horizontal="left" vertical="center" wrapText="1"/>
    </xf>
    <xf numFmtId="0" fontId="132" fillId="0" borderId="99" xfId="21414" applyFont="1" applyFill="1" applyBorder="1" applyAlignment="1">
      <alignment horizontal="center" vertical="center" wrapText="1"/>
    </xf>
    <xf numFmtId="0" fontId="130" fillId="3" borderId="139" xfId="0" applyFont="1" applyFill="1" applyBorder="1" applyAlignment="1">
      <alignment horizontal="left" vertical="center" wrapText="1"/>
    </xf>
    <xf numFmtId="0" fontId="129" fillId="3" borderId="140" xfId="21414" applyFont="1" applyFill="1" applyBorder="1" applyAlignment="1">
      <alignment horizontal="left" vertical="center" wrapText="1" indent="1"/>
    </xf>
    <xf numFmtId="0" fontId="129" fillId="3" borderId="137" xfId="0" applyFont="1" applyFill="1" applyBorder="1" applyAlignment="1">
      <alignment horizontal="left" vertical="center" wrapText="1" indent="1"/>
    </xf>
    <xf numFmtId="0" fontId="129" fillId="0" borderId="140"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29" fillId="0" borderId="137" xfId="0" applyFont="1" applyBorder="1" applyAlignment="1">
      <alignment horizontal="left" vertical="center" wrapText="1" indent="1"/>
    </xf>
    <xf numFmtId="0" fontId="129" fillId="0" borderId="138" xfId="0" applyFont="1" applyBorder="1" applyAlignment="1">
      <alignment horizontal="left" vertical="center" wrapText="1" indent="1"/>
    </xf>
    <xf numFmtId="0" fontId="130" fillId="0" borderId="140" xfId="21414" applyFont="1" applyFill="1" applyBorder="1" applyAlignment="1">
      <alignment horizontal="left" vertical="center" wrapText="1"/>
    </xf>
    <xf numFmtId="0" fontId="130" fillId="3" borderId="140" xfId="21414" applyFont="1" applyFill="1" applyBorder="1" applyAlignment="1">
      <alignment horizontal="left" vertical="center" wrapText="1"/>
    </xf>
    <xf numFmtId="0" fontId="132" fillId="0" borderId="140" xfId="21414" applyFont="1" applyFill="1" applyBorder="1" applyAlignment="1">
      <alignment horizontal="center" vertical="center" wrapText="1"/>
    </xf>
    <xf numFmtId="0" fontId="130" fillId="0" borderId="140" xfId="21414" applyFont="1" applyBorder="1" applyAlignment="1">
      <alignment horizontal="left" vertical="center" wrapText="1"/>
    </xf>
    <xf numFmtId="0" fontId="129" fillId="0" borderId="137" xfId="0" applyFont="1" applyFill="1" applyBorder="1" applyAlignment="1">
      <alignment horizontal="left" vertical="center" wrapText="1" indent="1"/>
    </xf>
    <xf numFmtId="0" fontId="133" fillId="0" borderId="140" xfId="0" applyFont="1" applyBorder="1" applyAlignment="1">
      <alignment horizontal="left"/>
    </xf>
    <xf numFmtId="0" fontId="130"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0" fillId="0" borderId="145" xfId="0" applyFont="1" applyFill="1" applyBorder="1" applyAlignment="1">
      <alignment horizontal="justify" vertical="center" wrapText="1"/>
    </xf>
    <xf numFmtId="0" fontId="129" fillId="0" borderId="139" xfId="0" applyFont="1" applyFill="1" applyBorder="1" applyAlignment="1">
      <alignment horizontal="left" vertical="center" wrapText="1" indent="1"/>
    </xf>
    <xf numFmtId="0" fontId="129" fillId="0" borderId="138" xfId="0" applyFont="1" applyFill="1" applyBorder="1" applyAlignment="1">
      <alignment horizontal="left" vertical="center" wrapText="1" indent="1"/>
    </xf>
    <xf numFmtId="0" fontId="130" fillId="0" borderId="137" xfId="0" applyFont="1" applyFill="1" applyBorder="1" applyAlignment="1">
      <alignment horizontal="justify" vertical="center" wrapText="1"/>
    </xf>
    <xf numFmtId="0" fontId="128" fillId="0" borderId="137" xfId="0" applyFont="1" applyFill="1" applyBorder="1" applyAlignment="1">
      <alignment horizontal="justify" vertical="center" wrapText="1"/>
    </xf>
    <xf numFmtId="0" fontId="130" fillId="3" borderId="137" xfId="0" applyFont="1" applyFill="1" applyBorder="1" applyAlignment="1">
      <alignment horizontal="justify" vertical="center" wrapText="1"/>
    </xf>
    <xf numFmtId="0" fontId="130" fillId="0" borderId="138" xfId="0" applyFont="1" applyFill="1" applyBorder="1" applyAlignment="1">
      <alignment horizontal="justify" vertical="center" wrapText="1"/>
    </xf>
    <xf numFmtId="0" fontId="130" fillId="0" borderId="139" xfId="0" applyFont="1" applyFill="1" applyBorder="1" applyAlignment="1">
      <alignment horizontal="justify" vertical="center" wrapText="1"/>
    </xf>
    <xf numFmtId="0" fontId="130" fillId="0" borderId="140" xfId="21414" applyFont="1" applyFill="1" applyBorder="1" applyAlignment="1">
      <alignment horizontal="justify" vertical="center" wrapText="1"/>
    </xf>
    <xf numFmtId="0" fontId="131" fillId="0" borderId="131" xfId="0" applyFont="1" applyFill="1" applyBorder="1" applyAlignment="1">
      <alignment horizontal="left" vertical="center" wrapText="1" indent="1"/>
    </xf>
    <xf numFmtId="0" fontId="128" fillId="0" borderId="137" xfId="0" applyFont="1" applyFill="1" applyBorder="1" applyAlignment="1">
      <alignment vertical="center" wrapText="1"/>
    </xf>
    <xf numFmtId="0" fontId="130" fillId="0" borderId="137" xfId="0" applyFont="1" applyFill="1" applyBorder="1" applyAlignment="1">
      <alignment vertical="center" wrapText="1"/>
    </xf>
    <xf numFmtId="0" fontId="130"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4" fillId="0" borderId="140" xfId="0" applyFont="1" applyFill="1" applyBorder="1" applyAlignment="1" applyProtection="1">
      <alignment horizontal="left" vertical="center" indent="1"/>
      <protection locked="0"/>
    </xf>
    <xf numFmtId="0" fontId="135" fillId="0" borderId="140" xfId="0" applyFont="1" applyFill="1" applyBorder="1" applyAlignment="1" applyProtection="1">
      <alignment horizontal="left" vertical="center" indent="3"/>
      <protection locked="0"/>
    </xf>
    <xf numFmtId="0" fontId="136"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4"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43" fontId="4" fillId="0" borderId="140" xfId="7" applyFont="1" applyBorder="1" applyAlignment="1">
      <alignment vertical="center"/>
    </xf>
    <xf numFmtId="0" fontId="0" fillId="0" borderId="144" xfId="0" applyBorder="1" applyAlignment="1">
      <alignment horizontal="center"/>
    </xf>
    <xf numFmtId="0" fontId="129" fillId="0" borderId="144" xfId="21414" applyFont="1" applyFill="1" applyBorder="1" applyAlignment="1">
      <alignment horizontal="left" vertical="center" wrapText="1" indent="1"/>
    </xf>
    <xf numFmtId="0" fontId="129" fillId="3" borderId="140" xfId="0" applyFont="1" applyFill="1" applyBorder="1" applyAlignment="1">
      <alignment horizontal="left" vertical="center" wrapText="1" indent="1"/>
    </xf>
    <xf numFmtId="170" fontId="22" fillId="0" borderId="140" xfId="0" applyNumberFormat="1" applyFont="1" applyBorder="1" applyAlignment="1">
      <alignment horizontal="center"/>
    </xf>
    <xf numFmtId="0" fontId="130" fillId="0" borderId="140" xfId="0" applyFont="1" applyBorder="1" applyAlignment="1">
      <alignment horizontal="left" vertical="center" wrapText="1"/>
    </xf>
    <xf numFmtId="0" fontId="22" fillId="0" borderId="140" xfId="0" applyFont="1" applyBorder="1"/>
    <xf numFmtId="0" fontId="129" fillId="0" borderId="140" xfId="0" applyFont="1" applyBorder="1" applyAlignment="1">
      <alignment horizontal="left" vertical="center" wrapText="1" indent="1"/>
    </xf>
    <xf numFmtId="0" fontId="129" fillId="0" borderId="140" xfId="0"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0" fontId="131" fillId="0" borderId="140" xfId="0" applyFont="1" applyFill="1" applyBorder="1" applyAlignment="1">
      <alignment horizontal="left" vertical="center" wrapText="1" indent="1"/>
    </xf>
    <xf numFmtId="170" fontId="22" fillId="0" borderId="140" xfId="0" applyNumberFormat="1" applyFont="1" applyFill="1" applyBorder="1" applyAlignment="1">
      <alignment horizontal="center"/>
    </xf>
    <xf numFmtId="170" fontId="21" fillId="0" borderId="56" xfId="0" applyNumberFormat="1" applyFont="1" applyFill="1" applyBorder="1" applyAlignment="1">
      <alignment horizontal="center"/>
    </xf>
    <xf numFmtId="170" fontId="17" fillId="0" borderId="58" xfId="0" applyNumberFormat="1" applyFont="1" applyFill="1" applyBorder="1" applyAlignment="1">
      <alignment horizontal="center"/>
    </xf>
    <xf numFmtId="0" fontId="118" fillId="0" borderId="140" xfId="0" applyFont="1" applyBorder="1"/>
    <xf numFmtId="49" fontId="120" fillId="0" borderId="140" xfId="5" applyNumberFormat="1" applyFont="1" applyFill="1" applyBorder="1" applyAlignment="1" applyProtection="1">
      <alignment horizontal="right" vertical="center"/>
      <protection locked="0"/>
    </xf>
    <xf numFmtId="0" fontId="119" fillId="3" borderId="140" xfId="13" applyFont="1" applyFill="1" applyBorder="1" applyAlignment="1" applyProtection="1">
      <alignment horizontal="left" vertical="center" wrapText="1"/>
      <protection locked="0"/>
    </xf>
    <xf numFmtId="49" fontId="119" fillId="3" borderId="140" xfId="5" applyNumberFormat="1" applyFont="1" applyFill="1" applyBorder="1" applyAlignment="1" applyProtection="1">
      <alignment horizontal="right" vertical="center"/>
      <protection locked="0"/>
    </xf>
    <xf numFmtId="0" fontId="119" fillId="0" borderId="140" xfId="13" applyFont="1" applyFill="1" applyBorder="1" applyAlignment="1" applyProtection="1">
      <alignment horizontal="left" vertical="center" wrapText="1"/>
      <protection locked="0"/>
    </xf>
    <xf numFmtId="49" fontId="119" fillId="0"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0" fontId="114" fillId="0" borderId="148" xfId="0" applyFont="1" applyBorder="1"/>
    <xf numFmtId="0" fontId="114" fillId="0" borderId="148" xfId="0" applyFont="1" applyFill="1" applyBorder="1"/>
    <xf numFmtId="0" fontId="114" fillId="0" borderId="148" xfId="0" applyFont="1" applyBorder="1" applyAlignment="1">
      <alignment horizontal="left" indent="8"/>
    </xf>
    <xf numFmtId="0" fontId="114" fillId="0" borderId="148" xfId="0" applyFont="1" applyBorder="1" applyAlignment="1">
      <alignment wrapText="1"/>
    </xf>
    <xf numFmtId="0" fontId="117" fillId="0" borderId="148" xfId="0" applyFont="1" applyBorder="1"/>
    <xf numFmtId="49" fontId="120" fillId="0" borderId="148" xfId="5" applyNumberFormat="1" applyFont="1" applyFill="1" applyBorder="1" applyAlignment="1" applyProtection="1">
      <alignment horizontal="right" vertical="center" wrapText="1"/>
      <protection locked="0"/>
    </xf>
    <xf numFmtId="49" fontId="119" fillId="3" borderId="148" xfId="5" applyNumberFormat="1" applyFont="1" applyFill="1" applyBorder="1" applyAlignment="1" applyProtection="1">
      <alignment horizontal="right" vertical="center" wrapText="1"/>
      <protection locked="0"/>
    </xf>
    <xf numFmtId="49" fontId="119" fillId="0" borderId="148" xfId="5" applyNumberFormat="1" applyFont="1" applyFill="1" applyBorder="1" applyAlignment="1" applyProtection="1">
      <alignment horizontal="right" vertical="center" wrapText="1"/>
      <protection locked="0"/>
    </xf>
    <xf numFmtId="0" fontId="114" fillId="0" borderId="148" xfId="0" applyFont="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4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8" xfId="0" applyFont="1" applyFill="1" applyBorder="1"/>
    <xf numFmtId="0" fontId="114" fillId="0" borderId="148" xfId="0" applyNumberFormat="1" applyFont="1" applyFill="1" applyBorder="1" applyAlignment="1">
      <alignment horizontal="left" vertical="center" wrapText="1"/>
    </xf>
    <xf numFmtId="0" fontId="117" fillId="0" borderId="148" xfId="0" applyFont="1" applyFill="1" applyBorder="1" applyAlignment="1">
      <alignment horizontal="left" wrapText="1" indent="1"/>
    </xf>
    <xf numFmtId="0" fontId="117" fillId="0" borderId="148" xfId="0" applyFont="1" applyFill="1" applyBorder="1" applyAlignment="1">
      <alignment horizontal="left" vertical="center" indent="1"/>
    </xf>
    <xf numFmtId="0" fontId="114" fillId="0" borderId="148" xfId="0" applyFont="1" applyFill="1" applyBorder="1" applyAlignment="1">
      <alignment horizontal="left" wrapText="1" indent="1"/>
    </xf>
    <xf numFmtId="0" fontId="114" fillId="0" borderId="148" xfId="0" applyFont="1" applyFill="1" applyBorder="1" applyAlignment="1">
      <alignment horizontal="left" indent="1"/>
    </xf>
    <xf numFmtId="0" fontId="114" fillId="0" borderId="148" xfId="0" applyFont="1" applyFill="1" applyBorder="1" applyAlignment="1">
      <alignment horizontal="left" wrapText="1" indent="4"/>
    </xf>
    <xf numFmtId="0" fontId="114" fillId="0" borderId="148" xfId="0" applyNumberFormat="1" applyFont="1" applyFill="1" applyBorder="1" applyAlignment="1">
      <alignment horizontal="left" indent="3"/>
    </xf>
    <xf numFmtId="0" fontId="117" fillId="0" borderId="148" xfId="0" applyFont="1" applyFill="1" applyBorder="1" applyAlignment="1">
      <alignment horizontal="left" indent="1"/>
    </xf>
    <xf numFmtId="0" fontId="118" fillId="0" borderId="148" xfId="0" applyFont="1" applyFill="1" applyBorder="1" applyAlignment="1">
      <alignment horizontal="center" vertical="center" wrapText="1"/>
    </xf>
    <xf numFmtId="0" fontId="114" fillId="80" borderId="148" xfId="0" applyFont="1" applyFill="1" applyBorder="1"/>
    <xf numFmtId="0" fontId="117" fillId="0" borderId="7" xfId="0" applyFont="1" applyBorder="1"/>
    <xf numFmtId="0" fontId="114" fillId="0" borderId="148" xfId="0" applyFont="1" applyFill="1" applyBorder="1" applyAlignment="1">
      <alignment horizontal="left" wrapText="1" indent="2"/>
    </xf>
    <xf numFmtId="0" fontId="114" fillId="0" borderId="148" xfId="0" applyFont="1" applyFill="1" applyBorder="1" applyAlignment="1">
      <alignment horizontal="left" wrapText="1"/>
    </xf>
    <xf numFmtId="0" fontId="114" fillId="0" borderId="0" xfId="0" applyFont="1" applyBorder="1"/>
    <xf numFmtId="0" fontId="117" fillId="84" borderId="148" xfId="0" applyFont="1" applyFill="1" applyBorder="1"/>
    <xf numFmtId="0" fontId="114" fillId="0" borderId="148" xfId="0" applyFont="1" applyBorder="1" applyAlignment="1">
      <alignment horizontal="left" indent="1"/>
    </xf>
    <xf numFmtId="0" fontId="114" fillId="0" borderId="148" xfId="0" applyFont="1" applyBorder="1" applyAlignment="1">
      <alignment horizontal="center"/>
    </xf>
    <xf numFmtId="0" fontId="114" fillId="0" borderId="0" xfId="0" applyFont="1" applyBorder="1" applyAlignment="1">
      <alignment horizontal="center" vertical="center"/>
    </xf>
    <xf numFmtId="0" fontId="114" fillId="0" borderId="148"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50"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0" xfId="0" applyFont="1" applyFill="1"/>
    <xf numFmtId="0" fontId="114" fillId="0" borderId="154" xfId="0" applyFont="1" applyFill="1" applyBorder="1"/>
    <xf numFmtId="0" fontId="114" fillId="0" borderId="155" xfId="0" applyFont="1" applyFill="1" applyBorder="1"/>
    <xf numFmtId="49" fontId="114" fillId="0" borderId="154" xfId="0" applyNumberFormat="1" applyFont="1" applyFill="1" applyBorder="1" applyAlignment="1">
      <alignment horizontal="left" wrapText="1" indent="1"/>
    </xf>
    <xf numFmtId="0" fontId="114" fillId="0" borderId="156" xfId="0" applyNumberFormat="1" applyFont="1" applyFill="1" applyBorder="1" applyAlignment="1">
      <alignment horizontal="left" wrapText="1" indent="1"/>
    </xf>
    <xf numFmtId="0" fontId="114" fillId="0" borderId="157" xfId="0" applyFont="1" applyFill="1" applyBorder="1"/>
    <xf numFmtId="49" fontId="114" fillId="0" borderId="157" xfId="0" applyNumberFormat="1" applyFont="1" applyFill="1" applyBorder="1" applyAlignment="1">
      <alignment horizontal="left" wrapText="1" indent="1"/>
    </xf>
    <xf numFmtId="0" fontId="114" fillId="0" borderId="158" xfId="0" applyNumberFormat="1" applyFont="1" applyFill="1" applyBorder="1" applyAlignment="1">
      <alignment horizontal="left" wrapText="1" indent="1"/>
    </xf>
    <xf numFmtId="49" fontId="114" fillId="0" borderId="158" xfId="0" applyNumberFormat="1" applyFont="1" applyFill="1" applyBorder="1" applyAlignment="1">
      <alignment horizontal="left" wrapText="1" indent="3"/>
    </xf>
    <xf numFmtId="49" fontId="114" fillId="0" borderId="157" xfId="0" applyNumberFormat="1" applyFont="1" applyFill="1" applyBorder="1" applyAlignment="1">
      <alignment horizontal="left" wrapText="1" indent="3"/>
    </xf>
    <xf numFmtId="49" fontId="114" fillId="0" borderId="157" xfId="0" applyNumberFormat="1" applyFont="1" applyFill="1" applyBorder="1" applyAlignment="1">
      <alignment horizontal="left" wrapText="1" indent="2"/>
    </xf>
    <xf numFmtId="49" fontId="114" fillId="0" borderId="158" xfId="0" applyNumberFormat="1" applyFont="1" applyBorder="1" applyAlignment="1">
      <alignment horizontal="left" wrapText="1" indent="2"/>
    </xf>
    <xf numFmtId="49" fontId="114" fillId="0" borderId="157" xfId="0" applyNumberFormat="1" applyFont="1" applyFill="1" applyBorder="1" applyAlignment="1">
      <alignment horizontal="left" vertical="top" wrapText="1" indent="2"/>
    </xf>
    <xf numFmtId="0" fontId="114" fillId="81" borderId="157" xfId="0" applyFont="1" applyFill="1" applyBorder="1"/>
    <xf numFmtId="0" fontId="114" fillId="81" borderId="148" xfId="0" applyFont="1" applyFill="1" applyBorder="1"/>
    <xf numFmtId="49" fontId="114" fillId="0" borderId="157" xfId="0" applyNumberFormat="1" applyFont="1" applyFill="1" applyBorder="1" applyAlignment="1">
      <alignment horizontal="left" indent="1"/>
    </xf>
    <xf numFmtId="0" fontId="114" fillId="0" borderId="158" xfId="0" applyNumberFormat="1" applyFont="1" applyBorder="1" applyAlignment="1">
      <alignment horizontal="left" indent="1"/>
    </xf>
    <xf numFmtId="0" fontId="114" fillId="0" borderId="157" xfId="0" applyFont="1" applyBorder="1"/>
    <xf numFmtId="49" fontId="114" fillId="0" borderId="158" xfId="0" applyNumberFormat="1" applyFont="1" applyBorder="1" applyAlignment="1">
      <alignment horizontal="left" indent="1"/>
    </xf>
    <xf numFmtId="49" fontId="114" fillId="0" borderId="157" xfId="0" applyNumberFormat="1" applyFont="1" applyFill="1" applyBorder="1" applyAlignment="1">
      <alignment horizontal="left" indent="3"/>
    </xf>
    <xf numFmtId="49" fontId="114" fillId="0" borderId="158" xfId="0" applyNumberFormat="1" applyFont="1" applyBorder="1" applyAlignment="1">
      <alignment horizontal="left" indent="3"/>
    </xf>
    <xf numFmtId="0" fontId="114" fillId="0" borderId="158" xfId="0" applyFont="1" applyBorder="1" applyAlignment="1">
      <alignment horizontal="left" indent="2"/>
    </xf>
    <xf numFmtId="0" fontId="114" fillId="0" borderId="157" xfId="0" applyFont="1" applyBorder="1" applyAlignment="1">
      <alignment horizontal="left" indent="2"/>
    </xf>
    <xf numFmtId="0" fontId="114" fillId="0" borderId="158" xfId="0" applyFont="1" applyBorder="1" applyAlignment="1">
      <alignment horizontal="left" indent="1"/>
    </xf>
    <xf numFmtId="0" fontId="114" fillId="0" borderId="157"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8"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xf numFmtId="0" fontId="117" fillId="0" borderId="14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5" xfId="0" applyNumberFormat="1" applyFont="1" applyFill="1" applyBorder="1" applyAlignment="1">
      <alignment horizontal="left" vertical="center" wrapText="1" indent="1" readingOrder="1"/>
    </xf>
    <xf numFmtId="0" fontId="119" fillId="0" borderId="148" xfId="0" applyFont="1" applyBorder="1" applyAlignment="1">
      <alignment horizontal="left" indent="3"/>
    </xf>
    <xf numFmtId="0" fontId="117" fillId="0" borderId="148" xfId="0" applyNumberFormat="1" applyFont="1" applyFill="1" applyBorder="1" applyAlignment="1">
      <alignment vertical="center" wrapText="1" readingOrder="1"/>
    </xf>
    <xf numFmtId="0" fontId="119" fillId="0" borderId="148" xfId="0" applyFont="1" applyFill="1" applyBorder="1" applyAlignment="1">
      <alignment horizontal="left" indent="2"/>
    </xf>
    <xf numFmtId="0" fontId="114" fillId="0" borderId="136" xfId="0" applyNumberFormat="1" applyFont="1" applyFill="1" applyBorder="1" applyAlignment="1">
      <alignment vertical="center" wrapText="1" readingOrder="1"/>
    </xf>
    <xf numFmtId="0" fontId="119" fillId="0" borderId="149" xfId="0" applyFont="1" applyBorder="1" applyAlignment="1">
      <alignment horizontal="left" indent="2"/>
    </xf>
    <xf numFmtId="0" fontId="114" fillId="0" borderId="135" xfId="0" applyNumberFormat="1" applyFont="1" applyFill="1" applyBorder="1" applyAlignment="1">
      <alignment vertical="center" wrapText="1" readingOrder="1"/>
    </xf>
    <xf numFmtId="0" fontId="119" fillId="0" borderId="148" xfId="0" applyFont="1" applyBorder="1" applyAlignment="1">
      <alignment horizontal="left" indent="2"/>
    </xf>
    <xf numFmtId="0" fontId="114" fillId="0" borderId="134" xfId="0" applyNumberFormat="1" applyFont="1" applyFill="1" applyBorder="1" applyAlignment="1">
      <alignment vertical="center" wrapText="1" readingOrder="1"/>
    </xf>
    <xf numFmtId="0" fontId="137" fillId="0" borderId="7" xfId="0" applyFont="1" applyBorder="1"/>
    <xf numFmtId="0" fontId="104" fillId="0" borderId="148" xfId="0" applyFont="1" applyFill="1" applyBorder="1" applyAlignment="1">
      <alignment vertical="center" wrapText="1"/>
    </xf>
    <xf numFmtId="0" fontId="104" fillId="0" borderId="148" xfId="0" applyFont="1" applyBorder="1" applyAlignment="1">
      <alignment horizontal="left" vertical="center" wrapText="1"/>
    </xf>
    <xf numFmtId="0" fontId="104" fillId="0" borderId="148" xfId="0" applyFont="1" applyBorder="1" applyAlignment="1">
      <alignment horizontal="left" indent="2"/>
    </xf>
    <xf numFmtId="0" fontId="104" fillId="0" borderId="148" xfId="0" applyNumberFormat="1" applyFont="1" applyFill="1" applyBorder="1" applyAlignment="1">
      <alignment vertical="center" wrapText="1"/>
    </xf>
    <xf numFmtId="0" fontId="104" fillId="0" borderId="148" xfId="0" applyNumberFormat="1" applyFont="1" applyFill="1" applyBorder="1" applyAlignment="1">
      <alignment horizontal="left" vertical="center" indent="1"/>
    </xf>
    <xf numFmtId="0" fontId="104" fillId="0" borderId="148" xfId="0" applyNumberFormat="1" applyFont="1" applyFill="1" applyBorder="1" applyAlignment="1">
      <alignment horizontal="left" vertical="center" wrapText="1" indent="1"/>
    </xf>
    <xf numFmtId="0" fontId="104" fillId="0" borderId="148" xfId="0" applyNumberFormat="1" applyFont="1" applyFill="1" applyBorder="1" applyAlignment="1">
      <alignment horizontal="right" vertical="center"/>
    </xf>
    <xf numFmtId="49" fontId="104" fillId="0" borderId="148" xfId="0" applyNumberFormat="1" applyFont="1" applyFill="1" applyBorder="1" applyAlignment="1">
      <alignment horizontal="right" vertical="center"/>
    </xf>
    <xf numFmtId="0" fontId="104" fillId="0" borderId="149" xfId="0" applyNumberFormat="1" applyFont="1" applyFill="1" applyBorder="1" applyAlignment="1">
      <alignment horizontal="left" vertical="top" wrapText="1"/>
    </xf>
    <xf numFmtId="49" fontId="104" fillId="0" borderId="148" xfId="0" applyNumberFormat="1" applyFont="1" applyFill="1" applyBorder="1" applyAlignment="1">
      <alignment vertical="top" wrapText="1"/>
    </xf>
    <xf numFmtId="49" fontId="104" fillId="0" borderId="148" xfId="0" applyNumberFormat="1" applyFont="1" applyFill="1" applyBorder="1" applyAlignment="1">
      <alignment horizontal="left" vertical="top" wrapText="1" indent="2"/>
    </xf>
    <xf numFmtId="49" fontId="104" fillId="0" borderId="148" xfId="0" applyNumberFormat="1" applyFont="1" applyFill="1" applyBorder="1" applyAlignment="1">
      <alignment horizontal="left" vertical="center" wrapText="1" indent="3"/>
    </xf>
    <xf numFmtId="49" fontId="104" fillId="0" borderId="148" xfId="0" applyNumberFormat="1" applyFont="1" applyFill="1" applyBorder="1" applyAlignment="1">
      <alignment horizontal="left" wrapText="1" indent="2"/>
    </xf>
    <xf numFmtId="49" fontId="104" fillId="0" borderId="148" xfId="0" applyNumberFormat="1" applyFont="1" applyFill="1" applyBorder="1" applyAlignment="1">
      <alignment horizontal="left" vertical="top" wrapText="1"/>
    </xf>
    <xf numFmtId="49" fontId="104" fillId="0" borderId="148" xfId="0" applyNumberFormat="1" applyFont="1" applyFill="1" applyBorder="1" applyAlignment="1">
      <alignment horizontal="left" wrapText="1" indent="3"/>
    </xf>
    <xf numFmtId="49" fontId="104" fillId="0" borderId="148" xfId="0" applyNumberFormat="1" applyFont="1" applyFill="1" applyBorder="1" applyAlignment="1">
      <alignment vertical="center"/>
    </xf>
    <xf numFmtId="0" fontId="104" fillId="0" borderId="148" xfId="0" applyFont="1" applyFill="1" applyBorder="1" applyAlignment="1">
      <alignment horizontal="left" vertical="center" wrapText="1"/>
    </xf>
    <xf numFmtId="49" fontId="104" fillId="0" borderId="148" xfId="0" applyNumberFormat="1" applyFont="1" applyFill="1" applyBorder="1" applyAlignment="1">
      <alignment horizontal="left" indent="3"/>
    </xf>
    <xf numFmtId="0" fontId="104" fillId="0" borderId="148" xfId="0" applyFont="1" applyBorder="1" applyAlignment="1">
      <alignment horizontal="left" indent="1"/>
    </xf>
    <xf numFmtId="0" fontId="104" fillId="0" borderId="148" xfId="0" applyNumberFormat="1" applyFont="1" applyFill="1" applyBorder="1" applyAlignment="1">
      <alignment horizontal="left" vertical="center" wrapText="1"/>
    </xf>
    <xf numFmtId="0" fontId="104" fillId="0" borderId="148" xfId="0" applyFont="1" applyFill="1" applyBorder="1" applyAlignment="1">
      <alignment horizontal="left" wrapText="1" indent="2"/>
    </xf>
    <xf numFmtId="0" fontId="104" fillId="0" borderId="148" xfId="0" applyFont="1" applyBorder="1" applyAlignment="1">
      <alignment horizontal="left" vertical="top" wrapText="1"/>
    </xf>
    <xf numFmtId="0" fontId="103" fillId="0" borderId="7" xfId="0" applyFont="1" applyBorder="1" applyAlignment="1">
      <alignment wrapText="1"/>
    </xf>
    <xf numFmtId="0" fontId="104" fillId="0" borderId="148" xfId="0" applyFont="1" applyBorder="1" applyAlignment="1">
      <alignment horizontal="left" vertical="top" wrapText="1" indent="2"/>
    </xf>
    <xf numFmtId="0" fontId="104" fillId="0" borderId="148" xfId="0" applyFont="1" applyBorder="1" applyAlignment="1">
      <alignment horizontal="left" wrapText="1"/>
    </xf>
    <xf numFmtId="0" fontId="104" fillId="0" borderId="148" xfId="12672" applyFont="1" applyFill="1" applyBorder="1" applyAlignment="1">
      <alignment horizontal="left" vertical="center" wrapText="1" indent="2"/>
    </xf>
    <xf numFmtId="0" fontId="104" fillId="0" borderId="148" xfId="0" applyFont="1" applyBorder="1" applyAlignment="1">
      <alignment horizontal="left" wrapText="1" indent="2"/>
    </xf>
    <xf numFmtId="0" fontId="104" fillId="0" borderId="148" xfId="0" applyFont="1" applyBorder="1" applyAlignment="1">
      <alignment wrapText="1"/>
    </xf>
    <xf numFmtId="0" fontId="104" fillId="0" borderId="148" xfId="0" applyFont="1" applyBorder="1"/>
    <xf numFmtId="0" fontId="104" fillId="0" borderId="148" xfId="12672" applyFont="1" applyFill="1" applyBorder="1" applyAlignment="1">
      <alignment horizontal="left" vertical="center" wrapText="1"/>
    </xf>
    <xf numFmtId="0" fontId="103" fillId="0" borderId="148" xfId="0" applyFont="1" applyBorder="1" applyAlignment="1">
      <alignment wrapText="1"/>
    </xf>
    <xf numFmtId="0" fontId="104" fillId="0" borderId="150" xfId="0" applyNumberFormat="1" applyFont="1" applyFill="1" applyBorder="1" applyAlignment="1">
      <alignment horizontal="left" vertical="center" wrapText="1"/>
    </xf>
    <xf numFmtId="0" fontId="104" fillId="3" borderId="148" xfId="5" applyNumberFormat="1" applyFont="1" applyFill="1" applyBorder="1" applyAlignment="1" applyProtection="1">
      <alignment horizontal="right" vertical="center"/>
      <protection locked="0"/>
    </xf>
    <xf numFmtId="2" fontId="104" fillId="3" borderId="148" xfId="5" applyNumberFormat="1" applyFont="1" applyFill="1" applyBorder="1" applyAlignment="1" applyProtection="1">
      <alignment horizontal="right" vertical="center"/>
      <protection locked="0"/>
    </xf>
    <xf numFmtId="0" fontId="104" fillId="0" borderId="148" xfId="0" applyNumberFormat="1" applyFont="1" applyFill="1" applyBorder="1" applyAlignment="1">
      <alignment vertical="center"/>
    </xf>
    <xf numFmtId="0" fontId="104" fillId="0" borderId="150" xfId="13" applyFont="1" applyFill="1" applyBorder="1" applyAlignment="1" applyProtection="1">
      <alignment horizontal="left" vertical="top" wrapText="1"/>
      <protection locked="0"/>
    </xf>
    <xf numFmtId="0" fontId="104" fillId="0" borderId="151" xfId="13" applyFont="1" applyFill="1" applyBorder="1" applyAlignment="1" applyProtection="1">
      <alignment horizontal="left" vertical="top" wrapText="1"/>
      <protection locked="0"/>
    </xf>
    <xf numFmtId="0" fontId="104" fillId="0" borderId="149"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9" xfId="0" applyFont="1" applyBorder="1" applyAlignment="1">
      <alignment horizontal="left" indent="2"/>
    </xf>
    <xf numFmtId="0" fontId="104" fillId="0" borderId="136" xfId="0" applyNumberFormat="1" applyFont="1" applyFill="1" applyBorder="1" applyAlignment="1">
      <alignment horizontal="left" vertical="center" wrapText="1" readingOrder="1"/>
    </xf>
    <xf numFmtId="0" fontId="104" fillId="0" borderId="148" xfId="0" applyNumberFormat="1" applyFont="1" applyFill="1" applyBorder="1" applyAlignment="1">
      <alignment horizontal="left" vertical="center" wrapText="1" readingOrder="1"/>
    </xf>
    <xf numFmtId="170" fontId="18" fillId="85" borderId="57" xfId="0" applyNumberFormat="1" applyFont="1" applyFill="1" applyBorder="1" applyAlignment="1">
      <alignment horizontal="center"/>
    </xf>
    <xf numFmtId="0" fontId="2" fillId="0" borderId="16" xfId="0" applyNumberFormat="1" applyFont="1" applyFill="1" applyBorder="1" applyAlignment="1">
      <alignment horizontal="left" vertical="center" wrapText="1" indent="1"/>
    </xf>
    <xf numFmtId="172" fontId="25" fillId="37" borderId="63" xfId="20" applyBorder="1"/>
    <xf numFmtId="0" fontId="11" fillId="0" borderId="99" xfId="17" applyFill="1" applyBorder="1" applyAlignment="1" applyProtection="1">
      <alignment horizontal="left" vertical="top" wrapText="1"/>
    </xf>
    <xf numFmtId="0" fontId="7" fillId="83" borderId="148"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4" fillId="0" borderId="0" xfId="0" applyFont="1" applyFill="1" applyBorder="1" applyAlignment="1">
      <alignment wrapText="1"/>
    </xf>
    <xf numFmtId="43" fontId="143" fillId="0" borderId="0" xfId="7" applyFont="1"/>
    <xf numFmtId="167" fontId="143" fillId="0" borderId="0" xfId="7" applyNumberFormat="1" applyFont="1" applyBorder="1"/>
    <xf numFmtId="43" fontId="118" fillId="0" borderId="148" xfId="7" applyFont="1" applyBorder="1"/>
    <xf numFmtId="43" fontId="115" fillId="0" borderId="148" xfId="7" applyFont="1" applyBorder="1"/>
    <xf numFmtId="167" fontId="115" fillId="0" borderId="0" xfId="7" applyNumberFormat="1" applyFont="1" applyBorder="1"/>
    <xf numFmtId="167" fontId="114" fillId="36" borderId="148" xfId="7" applyNumberFormat="1" applyFont="1" applyFill="1" applyBorder="1"/>
    <xf numFmtId="167" fontId="114" fillId="0" borderId="148" xfId="7" applyNumberFormat="1" applyFont="1" applyFill="1" applyBorder="1"/>
    <xf numFmtId="167" fontId="118" fillId="0" borderId="140" xfId="7" applyNumberFormat="1" applyFont="1" applyFill="1" applyBorder="1" applyAlignment="1">
      <alignment horizontal="center" vertical="center" wrapText="1"/>
    </xf>
    <xf numFmtId="167" fontId="118" fillId="0" borderId="140" xfId="7" applyNumberFormat="1" applyFont="1" applyBorder="1" applyAlignment="1">
      <alignment horizontal="center" vertical="center" wrapText="1"/>
    </xf>
    <xf numFmtId="43" fontId="115" fillId="0" borderId="0" xfId="7" applyFont="1"/>
    <xf numFmtId="167" fontId="118" fillId="0" borderId="140" xfId="7" applyNumberFormat="1" applyFont="1" applyBorder="1"/>
    <xf numFmtId="197" fontId="111" fillId="79" borderId="99" xfId="20961" applyNumberFormat="1" applyFont="1" applyFill="1" applyBorder="1" applyAlignment="1" applyProtection="1">
      <alignment horizontal="right" vertical="center"/>
    </xf>
    <xf numFmtId="43" fontId="4" fillId="36" borderId="24" xfId="7" applyFont="1" applyFill="1" applyBorder="1"/>
    <xf numFmtId="43" fontId="4" fillId="36" borderId="23" xfId="7" applyFont="1" applyFill="1" applyBorder="1"/>
    <xf numFmtId="43" fontId="4" fillId="0" borderId="20" xfId="7" applyFont="1" applyBorder="1" applyAlignment="1"/>
    <xf numFmtId="43" fontId="21" fillId="0" borderId="140" xfId="7" applyFont="1" applyFill="1" applyBorder="1" applyAlignment="1">
      <alignment horizontal="center" vertical="center"/>
    </xf>
    <xf numFmtId="43" fontId="21" fillId="0" borderId="14" xfId="7" applyFont="1" applyFill="1" applyBorder="1" applyAlignment="1">
      <alignment horizontal="center" vertical="center"/>
    </xf>
    <xf numFmtId="43" fontId="18" fillId="0" borderId="13" xfId="7" applyFont="1" applyBorder="1" applyAlignment="1">
      <alignment vertical="center"/>
    </xf>
    <xf numFmtId="43" fontId="21" fillId="0" borderId="13" xfId="7" applyFont="1" applyBorder="1" applyAlignment="1">
      <alignment horizontal="center" vertical="center"/>
    </xf>
    <xf numFmtId="43" fontId="21" fillId="0" borderId="15" xfId="7" applyFont="1" applyBorder="1" applyAlignment="1">
      <alignment horizontal="center" vertical="center"/>
    </xf>
    <xf numFmtId="43" fontId="22" fillId="0" borderId="13" xfId="7" applyFont="1" applyBorder="1" applyAlignment="1">
      <alignment horizontal="center" vertical="center"/>
    </xf>
    <xf numFmtId="43" fontId="22" fillId="0" borderId="12" xfId="7" applyFont="1" applyFill="1" applyBorder="1" applyAlignment="1">
      <alignment horizontal="center" vertical="center"/>
    </xf>
    <xf numFmtId="43" fontId="102" fillId="0" borderId="12" xfId="7" applyFont="1" applyBorder="1" applyAlignment="1">
      <alignment horizontal="center" vertical="center"/>
    </xf>
    <xf numFmtId="43" fontId="18" fillId="0" borderId="12" xfId="7" applyFont="1" applyBorder="1" applyAlignment="1">
      <alignment horizontal="center" vertical="center"/>
    </xf>
    <xf numFmtId="43" fontId="21" fillId="0" borderId="12" xfId="7" applyFont="1" applyBorder="1" applyAlignment="1">
      <alignment horizontal="center" vertical="center"/>
    </xf>
    <xf numFmtId="43" fontId="22" fillId="0" borderId="12" xfId="7" applyFont="1" applyBorder="1" applyAlignment="1">
      <alignment horizontal="center" vertical="center"/>
    </xf>
    <xf numFmtId="43" fontId="21" fillId="0" borderId="30" xfId="7" applyFont="1" applyBorder="1" applyAlignment="1">
      <alignment horizontal="center" vertical="center"/>
    </xf>
    <xf numFmtId="43" fontId="4" fillId="0" borderId="59" xfId="7" applyFont="1" applyFill="1" applyBorder="1" applyAlignment="1">
      <alignment horizontal="center" vertical="center" wrapText="1"/>
    </xf>
    <xf numFmtId="43" fontId="9" fillId="0" borderId="0" xfId="7" applyFont="1" applyFill="1" applyBorder="1" applyAlignment="1" applyProtection="1"/>
    <xf numFmtId="43" fontId="22" fillId="0" borderId="0" xfId="7" applyFont="1"/>
    <xf numFmtId="43" fontId="22" fillId="0" borderId="140" xfId="7" applyFont="1" applyBorder="1" applyAlignment="1">
      <alignment horizontal="center" vertical="center"/>
    </xf>
    <xf numFmtId="43" fontId="21" fillId="0" borderId="140" xfId="7" applyFont="1" applyBorder="1" applyAlignment="1">
      <alignment horizontal="center" vertical="center"/>
    </xf>
    <xf numFmtId="43" fontId="21" fillId="0" borderId="140" xfId="7" applyFont="1" applyBorder="1" applyAlignment="1">
      <alignment horizontal="center"/>
    </xf>
    <xf numFmtId="43" fontId="7" fillId="0" borderId="24" xfId="7" applyFont="1" applyFill="1" applyBorder="1" applyAlignment="1" applyProtection="1">
      <alignment horizontal="right" vertical="center"/>
    </xf>
    <xf numFmtId="43" fontId="6" fillId="36" borderId="114" xfId="7" applyFont="1" applyFill="1" applyBorder="1" applyAlignment="1">
      <alignment horizontal="center" vertical="center" wrapText="1"/>
    </xf>
    <xf numFmtId="43" fontId="107" fillId="0" borderId="114" xfId="7" applyFont="1" applyFill="1" applyBorder="1" applyAlignment="1">
      <alignment horizontal="right" vertical="center" wrapText="1"/>
    </xf>
    <xf numFmtId="43" fontId="6" fillId="36" borderId="114" xfId="7" applyFont="1" applyFill="1" applyBorder="1" applyAlignment="1">
      <alignment horizontal="right" vertical="center" wrapText="1"/>
    </xf>
    <xf numFmtId="43" fontId="4" fillId="0" borderId="114" xfId="7" applyFont="1" applyFill="1" applyBorder="1" applyAlignment="1">
      <alignment horizontal="right" vertical="center" wrapText="1"/>
    </xf>
    <xf numFmtId="196" fontId="0" fillId="0" borderId="0" xfId="0" applyNumberFormat="1" applyAlignment="1">
      <alignment wrapText="1"/>
    </xf>
    <xf numFmtId="170" fontId="0" fillId="0" borderId="0" xfId="0" applyNumberFormat="1"/>
    <xf numFmtId="3" fontId="4" fillId="0" borderId="0" xfId="0" applyNumberFormat="1" applyFont="1"/>
    <xf numFmtId="167" fontId="115" fillId="0" borderId="0" xfId="0" applyNumberFormat="1" applyFont="1"/>
    <xf numFmtId="167" fontId="114" fillId="0" borderId="0" xfId="7" applyNumberFormat="1" applyFont="1"/>
    <xf numFmtId="167" fontId="117" fillId="0" borderId="148" xfId="7" applyNumberFormat="1" applyFont="1" applyBorder="1"/>
    <xf numFmtId="167" fontId="114" fillId="0" borderId="148" xfId="7" applyNumberFormat="1" applyFont="1" applyBorder="1"/>
    <xf numFmtId="10" fontId="4" fillId="0" borderId="168" xfId="20961" applyNumberFormat="1" applyFont="1" applyBorder="1" applyAlignment="1"/>
    <xf numFmtId="10" fontId="4" fillId="0" borderId="170" xfId="20961" applyNumberFormat="1" applyFont="1" applyBorder="1" applyAlignment="1"/>
    <xf numFmtId="0" fontId="9" fillId="0" borderId="168" xfId="0" applyFont="1" applyBorder="1" applyAlignment="1"/>
    <xf numFmtId="0" fontId="9" fillId="0" borderId="173" xfId="0" applyFont="1" applyBorder="1" applyAlignment="1">
      <alignment wrapText="1"/>
    </xf>
    <xf numFmtId="0" fontId="4" fillId="0" borderId="168" xfId="0" applyFont="1" applyBorder="1" applyAlignment="1"/>
    <xf numFmtId="0" fontId="13" fillId="0" borderId="173" xfId="0" applyFont="1" applyBorder="1" applyAlignment="1">
      <alignment wrapText="1"/>
    </xf>
    <xf numFmtId="0" fontId="9" fillId="0" borderId="174" xfId="0" applyFont="1" applyBorder="1" applyAlignment="1">
      <alignment vertical="center"/>
    </xf>
    <xf numFmtId="167" fontId="0" fillId="0" borderId="167" xfId="7" applyNumberFormat="1" applyFont="1" applyBorder="1" applyProtection="1"/>
    <xf numFmtId="3" fontId="0" fillId="0" borderId="0" xfId="0" applyNumberFormat="1"/>
    <xf numFmtId="167" fontId="0" fillId="36" borderId="167" xfId="7" applyNumberFormat="1" applyFont="1" applyFill="1" applyBorder="1" applyAlignment="1">
      <alignment vertical="center"/>
    </xf>
    <xf numFmtId="167" fontId="0" fillId="0" borderId="167" xfId="7" applyNumberFormat="1" applyFont="1" applyBorder="1" applyAlignment="1">
      <alignment vertical="center"/>
    </xf>
    <xf numFmtId="167" fontId="0" fillId="36" borderId="167" xfId="7" applyNumberFormat="1" applyFont="1" applyFill="1" applyBorder="1"/>
    <xf numFmtId="0" fontId="0" fillId="0" borderId="0" xfId="0"/>
    <xf numFmtId="0" fontId="2" fillId="0" borderId="0" xfId="0" applyFont="1"/>
    <xf numFmtId="0" fontId="141" fillId="0" borderId="0" xfId="0" applyFont="1"/>
    <xf numFmtId="0" fontId="142" fillId="0" borderId="0" xfId="0" applyFont="1"/>
    <xf numFmtId="0" fontId="142" fillId="0" borderId="0" xfId="0" applyFont="1" applyFill="1"/>
    <xf numFmtId="0" fontId="142" fillId="0" borderId="148" xfId="0" applyFont="1" applyBorder="1"/>
    <xf numFmtId="172" fontId="25" fillId="37" borderId="0" xfId="20" applyBorder="1"/>
    <xf numFmtId="14" fontId="142" fillId="0" borderId="0" xfId="0" applyNumberFormat="1" applyFont="1"/>
    <xf numFmtId="172" fontId="25" fillId="37" borderId="0" xfId="20" applyFont="1" applyBorder="1"/>
    <xf numFmtId="167" fontId="115" fillId="0" borderId="0" xfId="7" applyNumberFormat="1" applyFont="1"/>
    <xf numFmtId="167" fontId="115" fillId="0" borderId="0" xfId="7" applyNumberFormat="1" applyFont="1" applyFill="1"/>
    <xf numFmtId="196" fontId="9" fillId="2" borderId="171" xfId="0" applyNumberFormat="1" applyFont="1" applyFill="1" applyBorder="1" applyAlignment="1" applyProtection="1">
      <alignment vertical="center"/>
      <protection locked="0"/>
    </xf>
    <xf numFmtId="196" fontId="7" fillId="0" borderId="167" xfId="0" applyNumberFormat="1" applyFont="1" applyFill="1" applyBorder="1" applyAlignment="1" applyProtection="1">
      <alignment vertical="center" wrapText="1"/>
      <protection locked="0"/>
    </xf>
    <xf numFmtId="196" fontId="7" fillId="0" borderId="167" xfId="0" applyNumberFormat="1" applyFont="1" applyFill="1" applyBorder="1" applyAlignment="1" applyProtection="1">
      <alignment horizontal="right" vertical="center" wrapText="1"/>
      <protection locked="0"/>
    </xf>
    <xf numFmtId="10" fontId="7" fillId="0" borderId="167" xfId="20961" applyNumberFormat="1" applyFont="1" applyBorder="1" applyAlignment="1" applyProtection="1">
      <alignment vertical="center" wrapText="1"/>
      <protection locked="0"/>
    </xf>
    <xf numFmtId="10" fontId="9" fillId="2" borderId="167" xfId="20961" applyNumberFormat="1" applyFont="1" applyFill="1" applyBorder="1" applyAlignment="1" applyProtection="1">
      <alignment vertical="center"/>
      <protection locked="0"/>
    </xf>
    <xf numFmtId="196" fontId="9" fillId="2" borderId="167" xfId="0" applyNumberFormat="1" applyFont="1" applyFill="1" applyBorder="1" applyAlignment="1" applyProtection="1">
      <alignment vertical="center"/>
      <protection locked="0"/>
    </xf>
    <xf numFmtId="167" fontId="118" fillId="82" borderId="167" xfId="7" applyNumberFormat="1" applyFont="1" applyFill="1" applyBorder="1"/>
    <xf numFmtId="167" fontId="115" fillId="86" borderId="167" xfId="7" applyNumberFormat="1" applyFont="1" applyFill="1" applyBorder="1"/>
    <xf numFmtId="196" fontId="4" fillId="0" borderId="0" xfId="0" applyNumberFormat="1" applyFont="1"/>
    <xf numFmtId="167" fontId="0" fillId="0" borderId="167" xfId="7" applyNumberFormat="1" applyFont="1" applyBorder="1"/>
    <xf numFmtId="0" fontId="17" fillId="0" borderId="1" xfId="0" applyFont="1" applyFill="1" applyBorder="1" applyAlignment="1">
      <alignment horizontal="center" vertical="center"/>
    </xf>
    <xf numFmtId="43" fontId="114" fillId="0" borderId="148" xfId="7" applyFont="1" applyBorder="1" applyAlignment="1">
      <alignment horizontal="left" indent="1"/>
    </xf>
    <xf numFmtId="43" fontId="114" fillId="0" borderId="148" xfId="7" applyFont="1" applyBorder="1"/>
    <xf numFmtId="167" fontId="114" fillId="0" borderId="148" xfId="7" applyNumberFormat="1" applyFont="1" applyBorder="1" applyAlignment="1">
      <alignment horizontal="left" indent="1"/>
    </xf>
    <xf numFmtId="43" fontId="117" fillId="0" borderId="148" xfId="7" applyFont="1" applyBorder="1"/>
    <xf numFmtId="43" fontId="117" fillId="84" borderId="148" xfId="7" applyFont="1" applyFill="1" applyBorder="1"/>
    <xf numFmtId="167" fontId="117" fillId="0" borderId="69" xfId="7" applyNumberFormat="1" applyFont="1" applyBorder="1"/>
    <xf numFmtId="167" fontId="114" fillId="0" borderId="158" xfId="7" applyNumberFormat="1" applyFont="1" applyBorder="1" applyAlignment="1">
      <alignment horizontal="left" indent="1"/>
    </xf>
    <xf numFmtId="167" fontId="114" fillId="0" borderId="158" xfId="7" applyNumberFormat="1" applyFont="1" applyBorder="1" applyAlignment="1">
      <alignment horizontal="left" indent="2"/>
    </xf>
    <xf numFmtId="167" fontId="114" fillId="0" borderId="158" xfId="7" applyNumberFormat="1" applyFont="1" applyFill="1" applyBorder="1" applyAlignment="1">
      <alignment horizontal="left" indent="3"/>
    </xf>
    <xf numFmtId="167" fontId="114" fillId="0" borderId="158" xfId="7" applyNumberFormat="1" applyFont="1" applyFill="1" applyBorder="1" applyAlignment="1">
      <alignment horizontal="left" indent="1"/>
    </xf>
    <xf numFmtId="167" fontId="114" fillId="81" borderId="158" xfId="7" applyNumberFormat="1" applyFont="1" applyFill="1" applyBorder="1"/>
    <xf numFmtId="167" fontId="114" fillId="81" borderId="148" xfId="7" applyNumberFormat="1" applyFont="1" applyFill="1" applyBorder="1"/>
    <xf numFmtId="167" fontId="114" fillId="0" borderId="158" xfId="7" applyNumberFormat="1" applyFont="1" applyFill="1" applyBorder="1" applyAlignment="1">
      <alignment horizontal="left" vertical="top" wrapText="1" indent="2"/>
    </xf>
    <xf numFmtId="167" fontId="114" fillId="0" borderId="158" xfId="7" applyNumberFormat="1" applyFont="1" applyFill="1" applyBorder="1" applyAlignment="1">
      <alignment horizontal="left" wrapText="1" indent="3"/>
    </xf>
    <xf numFmtId="167" fontId="114" fillId="0" borderId="158" xfId="7" applyNumberFormat="1" applyFont="1" applyFill="1" applyBorder="1" applyAlignment="1">
      <alignment horizontal="left" wrapText="1" indent="2"/>
    </xf>
    <xf numFmtId="167" fontId="114" fillId="0" borderId="158" xfId="7" applyNumberFormat="1" applyFont="1" applyFill="1" applyBorder="1" applyAlignment="1">
      <alignment horizontal="left" wrapText="1" indent="1"/>
    </xf>
    <xf numFmtId="167" fontId="114" fillId="0" borderId="156" xfId="7" applyNumberFormat="1" applyFont="1" applyFill="1" applyBorder="1" applyAlignment="1">
      <alignment horizontal="left" wrapText="1" indent="1"/>
    </xf>
    <xf numFmtId="167" fontId="114" fillId="0" borderId="155" xfId="7" applyNumberFormat="1" applyFont="1" applyFill="1" applyBorder="1"/>
    <xf numFmtId="167" fontId="114" fillId="0" borderId="148" xfId="7" applyNumberFormat="1" applyFont="1" applyFill="1" applyBorder="1" applyAlignment="1">
      <alignment horizontal="left" vertical="center" wrapText="1"/>
    </xf>
    <xf numFmtId="167" fontId="114" fillId="0" borderId="148" xfId="7" applyNumberFormat="1" applyFont="1" applyBorder="1" applyAlignment="1">
      <alignment horizontal="center" vertical="center" textRotation="90" wrapText="1"/>
    </xf>
    <xf numFmtId="167" fontId="114" fillId="0" borderId="148" xfId="7" applyNumberFormat="1" applyFont="1" applyBorder="1" applyAlignment="1">
      <alignment horizontal="center" vertical="center" wrapText="1"/>
    </xf>
    <xf numFmtId="167" fontId="114" fillId="0" borderId="148" xfId="7" applyNumberFormat="1" applyFont="1" applyBorder="1" applyAlignment="1">
      <alignment horizontal="center" vertical="center"/>
    </xf>
    <xf numFmtId="167" fontId="10" fillId="0" borderId="167" xfId="0" applyNumberFormat="1" applyFont="1" applyFill="1" applyBorder="1" applyAlignment="1">
      <alignment horizontal="left" vertical="center" wrapText="1"/>
    </xf>
    <xf numFmtId="43" fontId="119" fillId="0" borderId="148" xfId="7" applyFont="1" applyBorder="1"/>
    <xf numFmtId="167" fontId="119" fillId="0" borderId="148" xfId="7" applyNumberFormat="1" applyFont="1" applyBorder="1"/>
    <xf numFmtId="167" fontId="119" fillId="0" borderId="149" xfId="7" applyNumberFormat="1" applyFont="1" applyBorder="1"/>
    <xf numFmtId="43" fontId="145" fillId="0" borderId="0" xfId="0" applyNumberFormat="1" applyFont="1"/>
    <xf numFmtId="167" fontId="114" fillId="0" borderId="0" xfId="0" applyNumberFormat="1" applyFont="1" applyBorder="1"/>
    <xf numFmtId="10" fontId="9" fillId="0" borderId="175" xfId="20961" applyNumberFormat="1" applyFont="1" applyFill="1" applyBorder="1" applyAlignment="1" applyProtection="1">
      <alignment vertical="center"/>
      <protection locked="0"/>
    </xf>
    <xf numFmtId="10" fontId="9" fillId="2" borderId="175" xfId="20961" applyNumberFormat="1" applyFont="1" applyFill="1" applyBorder="1" applyAlignment="1" applyProtection="1">
      <alignment vertical="center"/>
      <protection locked="0"/>
    </xf>
    <xf numFmtId="3" fontId="20" fillId="0" borderId="167" xfId="0" applyNumberFormat="1" applyFont="1" applyBorder="1" applyAlignment="1">
      <alignment vertical="center" wrapText="1"/>
    </xf>
    <xf numFmtId="3" fontId="20" fillId="0" borderId="173" xfId="0" applyNumberFormat="1" applyFont="1" applyBorder="1" applyAlignment="1">
      <alignment vertical="center" wrapText="1"/>
    </xf>
    <xf numFmtId="3" fontId="20" fillId="0" borderId="170" xfId="0" applyNumberFormat="1" applyFont="1" applyBorder="1" applyAlignment="1">
      <alignment vertical="center" wrapText="1"/>
    </xf>
    <xf numFmtId="3" fontId="20" fillId="0" borderId="167" xfId="0" applyNumberFormat="1" applyFont="1" applyFill="1" applyBorder="1" applyAlignment="1">
      <alignment vertical="center" wrapText="1"/>
    </xf>
    <xf numFmtId="3" fontId="20" fillId="0" borderId="170" xfId="0" applyNumberFormat="1" applyFont="1" applyFill="1" applyBorder="1" applyAlignment="1">
      <alignment vertical="center" wrapText="1"/>
    </xf>
    <xf numFmtId="10" fontId="107" fillId="0" borderId="167" xfId="20961" applyNumberFormat="1" applyFont="1" applyFill="1" applyBorder="1" applyAlignment="1">
      <alignment horizontal="left" vertical="center" wrapText="1"/>
    </xf>
    <xf numFmtId="43" fontId="4" fillId="0" borderId="0" xfId="0" applyNumberFormat="1" applyFont="1" applyFill="1" applyAlignment="1">
      <alignment horizontal="left" vertical="center"/>
    </xf>
    <xf numFmtId="43" fontId="4" fillId="0" borderId="167" xfId="7" applyFont="1" applyBorder="1" applyAlignment="1"/>
    <xf numFmtId="43" fontId="4" fillId="0" borderId="173" xfId="7" applyFont="1" applyBorder="1" applyAlignment="1"/>
    <xf numFmtId="196" fontId="4" fillId="0" borderId="167" xfId="0" applyNumberFormat="1" applyFont="1" applyBorder="1" applyAlignment="1"/>
    <xf numFmtId="196" fontId="4" fillId="0" borderId="168" xfId="0" applyNumberFormat="1" applyFont="1" applyBorder="1" applyAlignment="1"/>
    <xf numFmtId="196" fontId="4" fillId="0" borderId="174" xfId="0" applyNumberFormat="1" applyFont="1" applyBorder="1" applyAlignment="1"/>
    <xf numFmtId="196" fontId="4" fillId="0" borderId="170" xfId="0" applyNumberFormat="1" applyFont="1" applyBorder="1" applyAlignment="1">
      <alignment wrapText="1"/>
    </xf>
    <xf numFmtId="196" fontId="4" fillId="0" borderId="170" xfId="0" applyNumberFormat="1" applyFont="1" applyBorder="1" applyAlignment="1"/>
    <xf numFmtId="196" fontId="4" fillId="0" borderId="167" xfId="0" applyNumberFormat="1" applyFont="1" applyBorder="1"/>
    <xf numFmtId="196" fontId="4" fillId="0" borderId="167" xfId="0" applyNumberFormat="1" applyFont="1" applyFill="1" applyBorder="1"/>
    <xf numFmtId="196" fontId="4" fillId="0" borderId="173" xfId="0" applyNumberFormat="1" applyFont="1" applyBorder="1"/>
    <xf numFmtId="196" fontId="4" fillId="0" borderId="173" xfId="0" applyNumberFormat="1" applyFont="1" applyFill="1" applyBorder="1"/>
    <xf numFmtId="167" fontId="111" fillId="0" borderId="167" xfId="948" applyNumberFormat="1" applyFont="1" applyFill="1" applyBorder="1" applyAlignment="1" applyProtection="1">
      <alignment horizontal="right" vertical="center"/>
      <protection locked="0"/>
    </xf>
    <xf numFmtId="167" fontId="118" fillId="0" borderId="167" xfId="7" applyNumberFormat="1" applyFont="1" applyBorder="1"/>
    <xf numFmtId="167" fontId="114" fillId="0" borderId="167" xfId="7" applyNumberFormat="1" applyFont="1" applyBorder="1"/>
    <xf numFmtId="167" fontId="114" fillId="0" borderId="167" xfId="7" applyNumberFormat="1" applyFont="1" applyFill="1" applyBorder="1"/>
    <xf numFmtId="167" fontId="117" fillId="0" borderId="167" xfId="7" applyNumberFormat="1" applyFont="1" applyBorder="1"/>
    <xf numFmtId="196" fontId="9" fillId="0" borderId="167" xfId="0" applyNumberFormat="1" applyFont="1" applyFill="1" applyBorder="1" applyAlignment="1" applyProtection="1">
      <alignment horizontal="right"/>
    </xf>
    <xf numFmtId="196" fontId="9" fillId="36" borderId="167" xfId="0" applyNumberFormat="1" applyFont="1" applyFill="1" applyBorder="1" applyAlignment="1" applyProtection="1">
      <alignment horizontal="right"/>
    </xf>
    <xf numFmtId="196" fontId="9" fillId="36" borderId="168" xfId="0" applyNumberFormat="1" applyFont="1" applyFill="1" applyBorder="1" applyAlignment="1" applyProtection="1">
      <alignment horizontal="right"/>
    </xf>
    <xf numFmtId="43" fontId="118" fillId="0" borderId="167" xfId="7" applyFont="1" applyBorder="1"/>
    <xf numFmtId="43" fontId="115" fillId="0" borderId="167" xfId="7" applyFont="1" applyBorder="1"/>
    <xf numFmtId="0" fontId="102" fillId="0" borderId="66" xfId="0" applyFont="1" applyBorder="1" applyAlignment="1">
      <alignment horizontal="left" vertical="center" wrapText="1"/>
    </xf>
    <xf numFmtId="0" fontId="102" fillId="0" borderId="65" xfId="0" applyFont="1" applyBorder="1" applyAlignment="1">
      <alignment horizontal="left" vertical="center" wrapText="1"/>
    </xf>
    <xf numFmtId="0" fontId="139" fillId="0" borderId="161" xfId="0" applyFont="1" applyBorder="1" applyAlignment="1">
      <alignment horizontal="center" vertical="center"/>
    </xf>
    <xf numFmtId="0" fontId="139" fillId="0" borderId="29" xfId="0" applyFont="1" applyBorder="1" applyAlignment="1">
      <alignment horizontal="center" vertical="center"/>
    </xf>
    <xf numFmtId="0" fontId="139" fillId="0" borderId="162" xfId="0" applyFont="1" applyBorder="1" applyAlignment="1">
      <alignment horizontal="center" vertical="center"/>
    </xf>
    <xf numFmtId="0" fontId="140" fillId="0" borderId="161" xfId="0" applyFont="1" applyBorder="1" applyAlignment="1">
      <alignment horizontal="center" wrapText="1"/>
    </xf>
    <xf numFmtId="0" fontId="140" fillId="0" borderId="29" xfId="0" applyFont="1" applyBorder="1" applyAlignment="1">
      <alignment horizontal="center" wrapText="1"/>
    </xf>
    <xf numFmtId="0" fontId="140" fillId="0" borderId="162" xfId="0" applyFont="1" applyBorder="1" applyAlignment="1">
      <alignment horizontal="center" wrapText="1"/>
    </xf>
    <xf numFmtId="167" fontId="0" fillId="0" borderId="173" xfId="7" applyNumberFormat="1" applyFont="1" applyBorder="1" applyAlignment="1">
      <alignment horizontal="center"/>
    </xf>
    <xf numFmtId="167" fontId="0" fillId="0" borderId="169" xfId="7" applyNumberFormat="1" applyFont="1" applyBorder="1" applyAlignment="1">
      <alignment horizontal="center"/>
    </xf>
    <xf numFmtId="167" fontId="0" fillId="0" borderId="172" xfId="7" applyNumberFormat="1" applyFont="1" applyBorder="1" applyAlignment="1">
      <alignment horizontal="center"/>
    </xf>
    <xf numFmtId="0" fontId="0" fillId="0" borderId="140" xfId="0" applyBorder="1" applyAlignment="1">
      <alignment horizontal="center" vertical="center"/>
    </xf>
    <xf numFmtId="0" fontId="126" fillId="0" borderId="94"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6" fillId="0" borderId="144"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44" fillId="0" borderId="161" xfId="0" applyFont="1" applyBorder="1" applyAlignment="1">
      <alignment horizontal="center" wrapText="1"/>
    </xf>
    <xf numFmtId="0" fontId="144" fillId="0" borderId="29" xfId="0" applyFont="1" applyBorder="1" applyAlignment="1">
      <alignment horizontal="center" wrapText="1"/>
    </xf>
    <xf numFmtId="0" fontId="144" fillId="0" borderId="162" xfId="0" applyFont="1" applyBorder="1" applyAlignment="1">
      <alignment horizontal="center" wrapText="1"/>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6" borderId="118"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5" xfId="0" applyFont="1" applyFill="1" applyBorder="1" applyAlignment="1">
      <alignment horizontal="center" vertical="center" wrapText="1"/>
    </xf>
    <xf numFmtId="0" fontId="6" fillId="36" borderId="98"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167"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7" fontId="15" fillId="0" borderId="90" xfId="1" applyNumberFormat="1" applyFont="1" applyFill="1" applyBorder="1" applyAlignment="1" applyProtection="1">
      <alignment horizontal="center" vertical="center" wrapText="1"/>
      <protection locked="0"/>
    </xf>
    <xf numFmtId="167"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7" fillId="0" borderId="121"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7" xfId="0" applyNumberFormat="1" applyFont="1" applyFill="1" applyBorder="1" applyAlignment="1">
      <alignment horizontal="left" vertical="center" wrapText="1"/>
    </xf>
    <xf numFmtId="0" fontId="117" fillId="0" borderId="128" xfId="0" applyNumberFormat="1" applyFont="1" applyFill="1" applyBorder="1" applyAlignment="1">
      <alignment horizontal="left" vertical="center" wrapText="1"/>
    </xf>
    <xf numFmtId="167" fontId="118" fillId="0" borderId="147" xfId="7" applyNumberFormat="1" applyFont="1" applyFill="1" applyBorder="1" applyAlignment="1">
      <alignment horizontal="center" vertical="center" wrapText="1"/>
    </xf>
    <xf numFmtId="167" fontId="118" fillId="0" borderId="146" xfId="7" applyNumberFormat="1" applyFont="1" applyFill="1" applyBorder="1" applyAlignment="1">
      <alignment horizontal="center" vertical="center" wrapText="1"/>
    </xf>
    <xf numFmtId="167" fontId="118" fillId="0" borderId="123" xfId="7" applyNumberFormat="1" applyFont="1" applyFill="1" applyBorder="1" applyAlignment="1">
      <alignment horizontal="center" vertical="center" wrapText="1"/>
    </xf>
    <xf numFmtId="167" fontId="118" fillId="0" borderId="53" xfId="7" applyNumberFormat="1" applyFont="1" applyFill="1" applyBorder="1" applyAlignment="1">
      <alignment horizontal="center" vertical="center" wrapText="1"/>
    </xf>
    <xf numFmtId="167" fontId="118" fillId="0" borderId="126" xfId="7" applyNumberFormat="1" applyFont="1" applyFill="1" applyBorder="1" applyAlignment="1">
      <alignment horizontal="center" vertical="center" wrapText="1"/>
    </xf>
    <xf numFmtId="167" fontId="118" fillId="0" borderId="11" xfId="7" applyNumberFormat="1" applyFont="1" applyFill="1" applyBorder="1" applyAlignment="1">
      <alignment horizontal="center" vertical="center" wrapText="1"/>
    </xf>
    <xf numFmtId="0" fontId="114" fillId="0" borderId="14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51" xfId="0" applyFont="1" applyBorder="1" applyAlignment="1">
      <alignment horizontal="center" vertical="center" wrapText="1"/>
    </xf>
    <xf numFmtId="0" fontId="114" fillId="0" borderId="150" xfId="0" applyFont="1" applyBorder="1" applyAlignment="1">
      <alignment horizontal="center" vertical="center" wrapText="1"/>
    </xf>
    <xf numFmtId="0" fontId="122" fillId="0" borderId="148"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152" xfId="0" applyFont="1" applyFill="1" applyBorder="1" applyAlignment="1">
      <alignment horizontal="center" vertical="center"/>
    </xf>
    <xf numFmtId="0" fontId="116" fillId="0" borderId="53"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8"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52" xfId="0" applyFont="1" applyFill="1" applyBorder="1" applyAlignment="1">
      <alignment horizontal="center" vertical="center" wrapText="1"/>
    </xf>
    <xf numFmtId="0" fontId="117" fillId="0" borderId="129" xfId="0" applyFont="1" applyFill="1" applyBorder="1" applyAlignment="1">
      <alignment horizontal="center" vertical="center" wrapText="1"/>
    </xf>
    <xf numFmtId="0" fontId="117" fillId="0" borderId="130" xfId="0" applyFont="1" applyFill="1" applyBorder="1" applyAlignment="1">
      <alignment horizontal="center" vertical="center" wrapText="1"/>
    </xf>
    <xf numFmtId="0" fontId="117" fillId="0" borderId="5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51" xfId="0" applyFont="1" applyFill="1" applyBorder="1" applyAlignment="1">
      <alignment horizontal="center" vertical="center" wrapText="1"/>
    </xf>
    <xf numFmtId="0" fontId="114" fillId="0" borderId="153" xfId="0" applyFont="1" applyFill="1" applyBorder="1" applyAlignment="1">
      <alignment horizontal="center" vertical="center" wrapText="1"/>
    </xf>
    <xf numFmtId="0" fontId="117" fillId="0" borderId="131"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3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52"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7" xfId="0" applyFont="1" applyBorder="1" applyAlignment="1">
      <alignment horizontal="center" vertical="center" wrapText="1"/>
    </xf>
    <xf numFmtId="0" fontId="114" fillId="0" borderId="54" xfId="0" applyFont="1" applyFill="1" applyBorder="1" applyAlignment="1">
      <alignment horizontal="center" vertical="center" wrapText="1"/>
    </xf>
    <xf numFmtId="0" fontId="114" fillId="0" borderId="55" xfId="0" applyFont="1" applyFill="1" applyBorder="1" applyAlignment="1">
      <alignment horizontal="center" vertical="center" wrapText="1"/>
    </xf>
    <xf numFmtId="0" fontId="114" fillId="0" borderId="106" xfId="0" applyFont="1" applyFill="1" applyBorder="1" applyAlignment="1">
      <alignment horizontal="center" vertical="center" wrapText="1"/>
    </xf>
    <xf numFmtId="0" fontId="117" fillId="0" borderId="54" xfId="0" applyNumberFormat="1" applyFont="1" applyFill="1" applyBorder="1" applyAlignment="1">
      <alignment horizontal="left" vertical="top" wrapText="1"/>
    </xf>
    <xf numFmtId="0" fontId="117" fillId="0" borderId="106" xfId="0" applyNumberFormat="1" applyFont="1" applyFill="1" applyBorder="1" applyAlignment="1">
      <alignment horizontal="left" vertical="top" wrapText="1"/>
    </xf>
    <xf numFmtId="0" fontId="117" fillId="0" borderId="63" xfId="0" applyNumberFormat="1" applyFont="1" applyFill="1" applyBorder="1" applyAlignment="1">
      <alignment horizontal="left" vertical="top" wrapText="1"/>
    </xf>
    <xf numFmtId="0" fontId="117" fillId="0" borderId="92" xfId="0" applyNumberFormat="1" applyFont="1" applyFill="1" applyBorder="1" applyAlignment="1">
      <alignment horizontal="left" vertical="top" wrapText="1"/>
    </xf>
    <xf numFmtId="0" fontId="117" fillId="0" borderId="120" xfId="0" applyNumberFormat="1" applyFont="1" applyFill="1" applyBorder="1" applyAlignment="1">
      <alignment horizontal="left" vertical="top" wrapText="1"/>
    </xf>
    <xf numFmtId="0" fontId="117" fillId="0" borderId="159" xfId="0" applyNumberFormat="1" applyFont="1" applyFill="1" applyBorder="1" applyAlignment="1">
      <alignment horizontal="left" vertical="top" wrapText="1"/>
    </xf>
    <xf numFmtId="0" fontId="114" fillId="0" borderId="149" xfId="0" applyFont="1" applyFill="1" applyBorder="1" applyAlignment="1">
      <alignment horizontal="center" vertical="center" wrapText="1"/>
    </xf>
    <xf numFmtId="0" fontId="117" fillId="0" borderId="160" xfId="0" applyFont="1" applyFill="1" applyBorder="1" applyAlignment="1">
      <alignment horizontal="center" vertical="center" wrapText="1"/>
    </xf>
    <xf numFmtId="0" fontId="117" fillId="0" borderId="69" xfId="0" applyFont="1" applyFill="1" applyBorder="1" applyAlignment="1">
      <alignment horizontal="center" vertical="center" wrapText="1"/>
    </xf>
    <xf numFmtId="0" fontId="114" fillId="0" borderId="147" xfId="0" applyFont="1" applyBorder="1" applyAlignment="1">
      <alignment horizontal="center" vertical="top" wrapText="1"/>
    </xf>
    <xf numFmtId="0" fontId="114" fillId="0" borderId="146" xfId="0" applyFont="1" applyBorder="1" applyAlignment="1">
      <alignment horizontal="center" vertical="top" wrapText="1"/>
    </xf>
    <xf numFmtId="0" fontId="114" fillId="0" borderId="147" xfId="0" applyFont="1" applyFill="1" applyBorder="1" applyAlignment="1">
      <alignment horizontal="center" vertical="top" wrapText="1"/>
    </xf>
    <xf numFmtId="0" fontId="114" fillId="0" borderId="153"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03" fillId="0" borderId="132" xfId="0" applyNumberFormat="1" applyFont="1" applyFill="1" applyBorder="1" applyAlignment="1">
      <alignment horizontal="left" vertical="top" wrapText="1"/>
    </xf>
    <xf numFmtId="0" fontId="103" fillId="0" borderId="133" xfId="0" applyNumberFormat="1" applyFont="1" applyFill="1" applyBorder="1" applyAlignment="1">
      <alignment horizontal="left" vertical="top" wrapText="1"/>
    </xf>
    <xf numFmtId="0" fontId="120" fillId="0" borderId="148" xfId="0" applyFont="1" applyBorder="1" applyAlignment="1">
      <alignment horizontal="center" vertical="center"/>
    </xf>
    <xf numFmtId="0" fontId="119" fillId="0" borderId="148" xfId="0" applyFont="1" applyBorder="1" applyAlignment="1">
      <alignment horizontal="center" vertical="center" wrapText="1"/>
    </xf>
    <xf numFmtId="0" fontId="119" fillId="0" borderId="149" xfId="0" applyFont="1" applyBorder="1" applyAlignment="1">
      <alignment horizontal="center" vertical="center" wrapText="1"/>
    </xf>
    <xf numFmtId="0" fontId="103" fillId="76" borderId="151" xfId="0" applyFont="1" applyFill="1" applyBorder="1" applyAlignment="1">
      <alignment horizontal="center" vertical="center" wrapText="1"/>
    </xf>
    <xf numFmtId="0" fontId="103" fillId="76" borderId="150" xfId="0" applyFont="1" applyFill="1" applyBorder="1" applyAlignment="1">
      <alignment horizontal="center" vertical="center" wrapText="1"/>
    </xf>
    <xf numFmtId="0" fontId="104" fillId="0" borderId="151" xfId="0" applyFont="1" applyFill="1" applyBorder="1" applyAlignment="1">
      <alignment horizontal="left" vertical="center" wrapText="1"/>
    </xf>
    <xf numFmtId="0" fontId="104" fillId="0" borderId="150" xfId="0" applyFont="1" applyFill="1" applyBorder="1" applyAlignment="1">
      <alignment horizontal="left" vertical="center" wrapText="1"/>
    </xf>
    <xf numFmtId="0" fontId="104" fillId="0" borderId="151" xfId="13" applyFont="1" applyFill="1" applyBorder="1" applyAlignment="1" applyProtection="1">
      <alignment horizontal="left" vertical="top" wrapText="1"/>
      <protection locked="0"/>
    </xf>
    <xf numFmtId="0" fontId="104" fillId="0" borderId="150" xfId="13" applyFont="1" applyFill="1" applyBorder="1" applyAlignment="1" applyProtection="1">
      <alignment horizontal="left" vertical="top" wrapText="1"/>
      <protection locked="0"/>
    </xf>
    <xf numFmtId="0" fontId="104" fillId="0" borderId="151" xfId="0" applyNumberFormat="1" applyFont="1" applyFill="1" applyBorder="1" applyAlignment="1">
      <alignment horizontal="left" vertical="center" wrapText="1"/>
    </xf>
    <xf numFmtId="0" fontId="104" fillId="0" borderId="150" xfId="0" applyNumberFormat="1" applyFont="1" applyFill="1" applyBorder="1" applyAlignment="1">
      <alignment horizontal="left" vertical="center" wrapText="1"/>
    </xf>
    <xf numFmtId="0" fontId="104" fillId="0" borderId="151" xfId="0" applyNumberFormat="1" applyFont="1" applyFill="1" applyBorder="1" applyAlignment="1">
      <alignment horizontal="left" vertical="top" wrapText="1"/>
    </xf>
    <xf numFmtId="0" fontId="104" fillId="0" borderId="150"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8" xfId="0" applyFont="1" applyFill="1" applyBorder="1" applyAlignment="1">
      <alignment horizontal="left" vertical="top" wrapText="1"/>
    </xf>
    <xf numFmtId="0" fontId="104" fillId="0" borderId="151" xfId="0" applyFont="1" applyFill="1" applyBorder="1" applyAlignment="1">
      <alignment horizontal="left" vertical="top" wrapText="1"/>
    </xf>
    <xf numFmtId="0" fontId="104" fillId="0" borderId="148" xfId="0" applyFont="1" applyFill="1" applyBorder="1" applyAlignment="1">
      <alignment horizontal="left" vertical="center" wrapText="1"/>
    </xf>
    <xf numFmtId="0" fontId="103" fillId="76" borderId="148" xfId="0" applyFont="1" applyFill="1" applyBorder="1" applyAlignment="1">
      <alignment horizontal="center" vertical="center" wrapText="1"/>
    </xf>
    <xf numFmtId="0" fontId="104" fillId="0" borderId="148" xfId="0" applyNumberFormat="1" applyFont="1" applyFill="1" applyBorder="1" applyAlignment="1">
      <alignment horizontal="left" vertical="top" wrapText="1"/>
    </xf>
    <xf numFmtId="0" fontId="104" fillId="0" borderId="148" xfId="0" applyFont="1" applyBorder="1" applyAlignment="1">
      <alignment horizontal="center"/>
    </xf>
    <xf numFmtId="0" fontId="104" fillId="0" borderId="100" xfId="0" applyFont="1" applyFill="1" applyBorder="1" applyAlignment="1">
      <alignment horizontal="left" vertical="center" wrapText="1"/>
    </xf>
    <xf numFmtId="0" fontId="104" fillId="0" borderId="98" xfId="0" applyFont="1" applyFill="1" applyBorder="1" applyAlignment="1">
      <alignment horizontal="left" vertical="center" wrapText="1"/>
    </xf>
    <xf numFmtId="0" fontId="103" fillId="0" borderId="148" xfId="0" applyFont="1" applyFill="1" applyBorder="1" applyAlignment="1">
      <alignment horizontal="center" vertical="center"/>
    </xf>
    <xf numFmtId="0" fontId="104" fillId="3" borderId="151" xfId="13" applyFont="1" applyFill="1" applyBorder="1" applyAlignment="1" applyProtection="1">
      <alignment horizontal="left" vertical="top" wrapText="1"/>
      <protection locked="0"/>
    </xf>
    <xf numFmtId="0" fontId="104" fillId="3" borderId="150" xfId="13" applyFont="1" applyFill="1" applyBorder="1" applyAlignment="1" applyProtection="1">
      <alignment horizontal="left" vertical="top" wrapText="1"/>
      <protection locked="0"/>
    </xf>
    <xf numFmtId="0" fontId="103" fillId="0" borderId="85" xfId="0" applyFont="1" applyFill="1" applyBorder="1" applyAlignment="1">
      <alignment horizontal="center" vertical="center"/>
    </xf>
    <xf numFmtId="0" fontId="103" fillId="76" borderId="82" xfId="0" applyFont="1" applyFill="1" applyBorder="1" applyAlignment="1">
      <alignment horizontal="center" vertical="center" wrapText="1"/>
    </xf>
    <xf numFmtId="0" fontId="103" fillId="76" borderId="0" xfId="0" applyFont="1" applyFill="1" applyBorder="1" applyAlignment="1">
      <alignment horizontal="center" vertical="center" wrapText="1"/>
    </xf>
    <xf numFmtId="0" fontId="103" fillId="76" borderId="83" xfId="0" applyFont="1" applyFill="1" applyBorder="1" applyAlignment="1">
      <alignment horizontal="center" vertical="center" wrapText="1"/>
    </xf>
    <xf numFmtId="0" fontId="104" fillId="77" borderId="100" xfId="0" applyFont="1" applyFill="1" applyBorder="1" applyAlignment="1">
      <alignment vertical="center" wrapText="1"/>
    </xf>
    <xf numFmtId="0" fontId="104" fillId="77" borderId="98" xfId="0" applyFont="1" applyFill="1" applyBorder="1" applyAlignment="1">
      <alignment vertical="center" wrapText="1"/>
    </xf>
    <xf numFmtId="0" fontId="104" fillId="0" borderId="100" xfId="0" applyFont="1" applyFill="1" applyBorder="1" applyAlignment="1">
      <alignment vertical="center" wrapText="1"/>
    </xf>
    <xf numFmtId="0" fontId="104" fillId="0" borderId="98" xfId="0" applyFont="1" applyFill="1" applyBorder="1" applyAlignment="1">
      <alignment vertical="center" wrapText="1"/>
    </xf>
    <xf numFmtId="0" fontId="103" fillId="76" borderId="87" xfId="0" applyFont="1" applyFill="1" applyBorder="1" applyAlignment="1">
      <alignment horizontal="center" vertical="center"/>
    </xf>
    <xf numFmtId="0" fontId="103" fillId="76" borderId="88" xfId="0" applyFont="1" applyFill="1" applyBorder="1" applyAlignment="1">
      <alignment horizontal="center" vertical="center"/>
    </xf>
    <xf numFmtId="0" fontId="103" fillId="76" borderId="89" xfId="0" applyFont="1" applyFill="1" applyBorder="1" applyAlignment="1">
      <alignment horizontal="center" vertical="center"/>
    </xf>
    <xf numFmtId="0" fontId="104" fillId="3" borderId="100" xfId="0" applyFont="1" applyFill="1" applyBorder="1" applyAlignment="1">
      <alignment horizontal="left" vertical="center" wrapText="1"/>
    </xf>
    <xf numFmtId="0" fontId="104" fillId="3" borderId="98"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3" fillId="76" borderId="73" xfId="0" applyFont="1" applyFill="1" applyBorder="1" applyAlignment="1">
      <alignment horizontal="center" vertical="center" wrapText="1"/>
    </xf>
    <xf numFmtId="0" fontId="103" fillId="76" borderId="74" xfId="0" applyFont="1" applyFill="1" applyBorder="1" applyAlignment="1">
      <alignment horizontal="center" vertical="center" wrapText="1"/>
    </xf>
    <xf numFmtId="0" fontId="103" fillId="76" borderId="75" xfId="0" applyFont="1" applyFill="1" applyBorder="1" applyAlignment="1">
      <alignment horizontal="center" vertical="center" wrapText="1"/>
    </xf>
    <xf numFmtId="0" fontId="104" fillId="0" borderId="53"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82" borderId="100" xfId="0" applyFont="1" applyFill="1" applyBorder="1" applyAlignment="1">
      <alignment vertical="center" wrapText="1"/>
    </xf>
    <xf numFmtId="0" fontId="104" fillId="82" borderId="98" xfId="0" applyFont="1" applyFill="1" applyBorder="1" applyAlignment="1">
      <alignment vertical="center" wrapText="1"/>
    </xf>
    <xf numFmtId="0" fontId="104" fillId="82" borderId="141" xfId="0" applyFont="1" applyFill="1" applyBorder="1" applyAlignment="1">
      <alignment horizontal="left" vertical="center" wrapText="1"/>
    </xf>
    <xf numFmtId="0" fontId="104" fillId="82" borderId="142" xfId="0" applyFont="1" applyFill="1" applyBorder="1" applyAlignment="1">
      <alignment horizontal="left" vertical="center" wrapText="1"/>
    </xf>
    <xf numFmtId="0" fontId="104" fillId="82" borderId="143"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3" borderId="78" xfId="0" applyFont="1" applyFill="1" applyBorder="1" applyAlignment="1">
      <alignment horizontal="left" vertical="center" wrapText="1"/>
    </xf>
    <xf numFmtId="0" fontId="104" fillId="82" borderId="80" xfId="0" applyFont="1" applyFill="1" applyBorder="1" applyAlignment="1">
      <alignment horizontal="left" vertical="center" wrapText="1"/>
    </xf>
    <xf numFmtId="0" fontId="104" fillId="82" borderId="81" xfId="0" applyFont="1" applyFill="1" applyBorder="1" applyAlignment="1">
      <alignment horizontal="left" vertical="center" wrapText="1"/>
    </xf>
    <xf numFmtId="0" fontId="104" fillId="82" borderId="53" xfId="0" applyFont="1" applyFill="1" applyBorder="1" applyAlignment="1">
      <alignment vertical="center" wrapText="1"/>
    </xf>
    <xf numFmtId="0" fontId="104" fillId="82" borderId="11" xfId="0" applyFont="1" applyFill="1" applyBorder="1" applyAlignment="1">
      <alignment vertical="center" wrapText="1"/>
    </xf>
    <xf numFmtId="0" fontId="104" fillId="3" borderId="100" xfId="0" applyFont="1" applyFill="1" applyBorder="1" applyAlignment="1">
      <alignment vertical="center" wrapText="1"/>
    </xf>
    <xf numFmtId="0" fontId="104" fillId="3" borderId="98" xfId="0" applyFont="1" applyFill="1" applyBorder="1" applyAlignment="1">
      <alignment vertical="center" wrapText="1"/>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3" fillId="0" borderId="72" xfId="0" applyFont="1" applyFill="1" applyBorder="1" applyAlignment="1">
      <alignment horizontal="center" vertical="center"/>
    </xf>
    <xf numFmtId="0" fontId="104" fillId="0" borderId="99" xfId="0" applyFont="1" applyFill="1" applyBorder="1" applyAlignment="1">
      <alignment horizontal="left" vertical="center" wrapText="1"/>
    </xf>
    <xf numFmtId="0" fontId="124" fillId="3" borderId="100" xfId="0" applyFont="1" applyFill="1" applyBorder="1" applyAlignment="1">
      <alignment vertical="center" wrapText="1"/>
    </xf>
    <xf numFmtId="0" fontId="124" fillId="3" borderId="98" xfId="0" applyFont="1" applyFill="1" applyBorder="1" applyAlignment="1">
      <alignment vertical="center" wrapText="1"/>
    </xf>
    <xf numFmtId="0" fontId="104" fillId="0" borderId="100" xfId="0" applyFont="1" applyFill="1" applyBorder="1" applyAlignment="1">
      <alignment horizontal="left"/>
    </xf>
    <xf numFmtId="0" fontId="104" fillId="0" borderId="98" xfId="0" applyFont="1" applyFill="1" applyBorder="1" applyAlignment="1">
      <alignment horizontal="left"/>
    </xf>
    <xf numFmtId="167" fontId="25" fillId="37" borderId="0" xfId="7" applyNumberFormat="1" applyFont="1" applyFill="1" applyBorder="1"/>
    <xf numFmtId="167" fontId="4" fillId="0" borderId="53" xfId="7" applyNumberFormat="1" applyFont="1" applyFill="1" applyBorder="1" applyAlignment="1">
      <alignment vertical="center"/>
    </xf>
    <xf numFmtId="167" fontId="4" fillId="0" borderId="64" xfId="7" applyNumberFormat="1" applyFont="1" applyFill="1" applyBorder="1" applyAlignment="1">
      <alignment vertical="center"/>
    </xf>
    <xf numFmtId="167" fontId="4" fillId="3" borderId="97" xfId="7" applyNumberFormat="1" applyFont="1" applyFill="1" applyBorder="1" applyAlignment="1">
      <alignment vertical="center"/>
    </xf>
    <xf numFmtId="167" fontId="4" fillId="3" borderId="21" xfId="7" applyNumberFormat="1" applyFont="1" applyFill="1" applyBorder="1" applyAlignment="1">
      <alignment vertical="center"/>
    </xf>
    <xf numFmtId="167" fontId="4" fillId="0" borderId="100" xfId="7" applyNumberFormat="1" applyFont="1" applyFill="1" applyBorder="1" applyAlignment="1">
      <alignment vertical="center"/>
    </xf>
    <xf numFmtId="167" fontId="4" fillId="0" borderId="114" xfId="7" applyNumberFormat="1" applyFont="1" applyFill="1" applyBorder="1" applyAlignment="1">
      <alignment vertical="center"/>
    </xf>
    <xf numFmtId="167" fontId="4" fillId="0" borderId="23"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6" xfId="7" applyNumberFormat="1" applyFont="1" applyFill="1" applyBorder="1" applyAlignment="1">
      <alignment vertical="center"/>
    </xf>
    <xf numFmtId="167" fontId="4" fillId="0" borderId="18" xfId="7" applyNumberFormat="1" applyFont="1" applyFill="1" applyBorder="1" applyAlignment="1">
      <alignment vertical="center"/>
    </xf>
    <xf numFmtId="167" fontId="4" fillId="0" borderId="95" xfId="7" applyNumberFormat="1" applyFont="1" applyFill="1" applyBorder="1" applyAlignment="1">
      <alignment vertical="center"/>
    </xf>
    <xf numFmtId="167" fontId="4" fillId="0" borderId="108" xfId="7" applyNumberFormat="1" applyFont="1" applyFill="1" applyBorder="1" applyAlignment="1">
      <alignment vertical="center"/>
    </xf>
    <xf numFmtId="9" fontId="4" fillId="0" borderId="93" xfId="20961" applyFont="1" applyFill="1" applyBorder="1" applyAlignment="1">
      <alignment vertical="center"/>
    </xf>
    <xf numFmtId="9" fontId="4" fillId="0" borderId="110" xfId="20961" applyFont="1" applyFill="1" applyBorder="1" applyAlignment="1">
      <alignment vertical="center"/>
    </xf>
    <xf numFmtId="14" fontId="4" fillId="0" borderId="0" xfId="0" applyNumberFormat="1" applyFont="1" applyAlignment="1">
      <alignment horizontal="left"/>
    </xf>
  </cellXfs>
  <cellStyles count="2186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416"/>
    <cellStyle name="Calculation 2 10 3" xfId="724"/>
    <cellStyle name="Calculation 2 10 3 2" xfId="21407"/>
    <cellStyle name="Calculation 2 10 3 3" xfId="21417"/>
    <cellStyle name="Calculation 2 10 4" xfId="725"/>
    <cellStyle name="Calculation 2 10 4 2" xfId="21406"/>
    <cellStyle name="Calculation 2 10 4 3" xfId="21418"/>
    <cellStyle name="Calculation 2 10 5" xfId="726"/>
    <cellStyle name="Calculation 2 10 5 2" xfId="21405"/>
    <cellStyle name="Calculation 2 10 5 3" xfId="21419"/>
    <cellStyle name="Calculation 2 11" xfId="727"/>
    <cellStyle name="Calculation 2 11 2" xfId="728"/>
    <cellStyle name="Calculation 2 11 2 2" xfId="21403"/>
    <cellStyle name="Calculation 2 11 2 3" xfId="21421"/>
    <cellStyle name="Calculation 2 11 3" xfId="729"/>
    <cellStyle name="Calculation 2 11 3 2" xfId="21402"/>
    <cellStyle name="Calculation 2 11 3 3" xfId="21422"/>
    <cellStyle name="Calculation 2 11 4" xfId="730"/>
    <cellStyle name="Calculation 2 11 4 2" xfId="21401"/>
    <cellStyle name="Calculation 2 11 4 3" xfId="21423"/>
    <cellStyle name="Calculation 2 11 5" xfId="731"/>
    <cellStyle name="Calculation 2 11 5 2" xfId="21400"/>
    <cellStyle name="Calculation 2 11 5 3" xfId="21424"/>
    <cellStyle name="Calculation 2 11 6" xfId="21404"/>
    <cellStyle name="Calculation 2 11 7" xfId="21420"/>
    <cellStyle name="Calculation 2 12" xfId="732"/>
    <cellStyle name="Calculation 2 12 2" xfId="733"/>
    <cellStyle name="Calculation 2 12 2 2" xfId="21398"/>
    <cellStyle name="Calculation 2 12 2 3" xfId="21426"/>
    <cellStyle name="Calculation 2 12 3" xfId="734"/>
    <cellStyle name="Calculation 2 12 3 2" xfId="21397"/>
    <cellStyle name="Calculation 2 12 3 3" xfId="21427"/>
    <cellStyle name="Calculation 2 12 4" xfId="735"/>
    <cellStyle name="Calculation 2 12 4 2" xfId="21396"/>
    <cellStyle name="Calculation 2 12 4 3" xfId="21428"/>
    <cellStyle name="Calculation 2 12 5" xfId="736"/>
    <cellStyle name="Calculation 2 12 5 2" xfId="21395"/>
    <cellStyle name="Calculation 2 12 5 3" xfId="21429"/>
    <cellStyle name="Calculation 2 12 6" xfId="21399"/>
    <cellStyle name="Calculation 2 12 7" xfId="21425"/>
    <cellStyle name="Calculation 2 13" xfId="737"/>
    <cellStyle name="Calculation 2 13 2" xfId="738"/>
    <cellStyle name="Calculation 2 13 2 2" xfId="21393"/>
    <cellStyle name="Calculation 2 13 2 3" xfId="21431"/>
    <cellStyle name="Calculation 2 13 3" xfId="739"/>
    <cellStyle name="Calculation 2 13 3 2" xfId="21392"/>
    <cellStyle name="Calculation 2 13 3 3" xfId="21432"/>
    <cellStyle name="Calculation 2 13 4" xfId="740"/>
    <cellStyle name="Calculation 2 13 4 2" xfId="21391"/>
    <cellStyle name="Calculation 2 13 4 3" xfId="21433"/>
    <cellStyle name="Calculation 2 13 5" xfId="21394"/>
    <cellStyle name="Calculation 2 13 6" xfId="21430"/>
    <cellStyle name="Calculation 2 14" xfId="741"/>
    <cellStyle name="Calculation 2 14 2" xfId="21390"/>
    <cellStyle name="Calculation 2 14 3" xfId="21434"/>
    <cellStyle name="Calculation 2 15" xfId="742"/>
    <cellStyle name="Calculation 2 15 2" xfId="21389"/>
    <cellStyle name="Calculation 2 15 3" xfId="21435"/>
    <cellStyle name="Calculation 2 16" xfId="743"/>
    <cellStyle name="Calculation 2 16 2" xfId="21388"/>
    <cellStyle name="Calculation 2 16 3" xfId="21436"/>
    <cellStyle name="Calculation 2 17" xfId="21409"/>
    <cellStyle name="Calculation 2 18" xfId="21415"/>
    <cellStyle name="Calculation 2 2" xfId="744"/>
    <cellStyle name="Calculation 2 2 10" xfId="21387"/>
    <cellStyle name="Calculation 2 2 11" xfId="21437"/>
    <cellStyle name="Calculation 2 2 2" xfId="745"/>
    <cellStyle name="Calculation 2 2 2 2" xfId="746"/>
    <cellStyle name="Calculation 2 2 2 2 2" xfId="21385"/>
    <cellStyle name="Calculation 2 2 2 2 3" xfId="21439"/>
    <cellStyle name="Calculation 2 2 2 3" xfId="747"/>
    <cellStyle name="Calculation 2 2 2 3 2" xfId="21384"/>
    <cellStyle name="Calculation 2 2 2 3 3" xfId="21440"/>
    <cellStyle name="Calculation 2 2 2 4" xfId="748"/>
    <cellStyle name="Calculation 2 2 2 4 2" xfId="21383"/>
    <cellStyle name="Calculation 2 2 2 4 3" xfId="21441"/>
    <cellStyle name="Calculation 2 2 2 5" xfId="21386"/>
    <cellStyle name="Calculation 2 2 2 6" xfId="21438"/>
    <cellStyle name="Calculation 2 2 3" xfId="749"/>
    <cellStyle name="Calculation 2 2 3 2" xfId="750"/>
    <cellStyle name="Calculation 2 2 3 2 2" xfId="21381"/>
    <cellStyle name="Calculation 2 2 3 2 3" xfId="21443"/>
    <cellStyle name="Calculation 2 2 3 3" xfId="751"/>
    <cellStyle name="Calculation 2 2 3 3 2" xfId="21380"/>
    <cellStyle name="Calculation 2 2 3 3 3" xfId="21444"/>
    <cellStyle name="Calculation 2 2 3 4" xfId="752"/>
    <cellStyle name="Calculation 2 2 3 4 2" xfId="21379"/>
    <cellStyle name="Calculation 2 2 3 4 3" xfId="21445"/>
    <cellStyle name="Calculation 2 2 3 5" xfId="21382"/>
    <cellStyle name="Calculation 2 2 3 6" xfId="21442"/>
    <cellStyle name="Calculation 2 2 4" xfId="753"/>
    <cellStyle name="Calculation 2 2 4 2" xfId="754"/>
    <cellStyle name="Calculation 2 2 4 2 2" xfId="21377"/>
    <cellStyle name="Calculation 2 2 4 2 3" xfId="21447"/>
    <cellStyle name="Calculation 2 2 4 3" xfId="755"/>
    <cellStyle name="Calculation 2 2 4 3 2" xfId="21376"/>
    <cellStyle name="Calculation 2 2 4 3 3" xfId="21448"/>
    <cellStyle name="Calculation 2 2 4 4" xfId="756"/>
    <cellStyle name="Calculation 2 2 4 4 2" xfId="21375"/>
    <cellStyle name="Calculation 2 2 4 4 3" xfId="21449"/>
    <cellStyle name="Calculation 2 2 4 5" xfId="21378"/>
    <cellStyle name="Calculation 2 2 4 6" xfId="21446"/>
    <cellStyle name="Calculation 2 2 5" xfId="757"/>
    <cellStyle name="Calculation 2 2 5 2" xfId="758"/>
    <cellStyle name="Calculation 2 2 5 2 2" xfId="21373"/>
    <cellStyle name="Calculation 2 2 5 2 3" xfId="21451"/>
    <cellStyle name="Calculation 2 2 5 3" xfId="759"/>
    <cellStyle name="Calculation 2 2 5 3 2" xfId="21372"/>
    <cellStyle name="Calculation 2 2 5 3 3" xfId="21452"/>
    <cellStyle name="Calculation 2 2 5 4" xfId="760"/>
    <cellStyle name="Calculation 2 2 5 4 2" xfId="21371"/>
    <cellStyle name="Calculation 2 2 5 4 3" xfId="21453"/>
    <cellStyle name="Calculation 2 2 5 5" xfId="21374"/>
    <cellStyle name="Calculation 2 2 5 6" xfId="21450"/>
    <cellStyle name="Calculation 2 2 6" xfId="761"/>
    <cellStyle name="Calculation 2 2 6 2" xfId="21370"/>
    <cellStyle name="Calculation 2 2 6 3" xfId="21454"/>
    <cellStyle name="Calculation 2 2 7" xfId="762"/>
    <cellStyle name="Calculation 2 2 7 2" xfId="21369"/>
    <cellStyle name="Calculation 2 2 7 3" xfId="21455"/>
    <cellStyle name="Calculation 2 2 8" xfId="763"/>
    <cellStyle name="Calculation 2 2 8 2" xfId="21368"/>
    <cellStyle name="Calculation 2 2 8 3" xfId="21456"/>
    <cellStyle name="Calculation 2 2 9" xfId="764"/>
    <cellStyle name="Calculation 2 2 9 2" xfId="21367"/>
    <cellStyle name="Calculation 2 2 9 3" xfId="21457"/>
    <cellStyle name="Calculation 2 3" xfId="765"/>
    <cellStyle name="Calculation 2 3 2" xfId="766"/>
    <cellStyle name="Calculation 2 3 2 2" xfId="21366"/>
    <cellStyle name="Calculation 2 3 2 3" xfId="21458"/>
    <cellStyle name="Calculation 2 3 3" xfId="767"/>
    <cellStyle name="Calculation 2 3 3 2" xfId="21365"/>
    <cellStyle name="Calculation 2 3 3 3" xfId="21459"/>
    <cellStyle name="Calculation 2 3 4" xfId="768"/>
    <cellStyle name="Calculation 2 3 4 2" xfId="21364"/>
    <cellStyle name="Calculation 2 3 4 3" xfId="21460"/>
    <cellStyle name="Calculation 2 3 5" xfId="769"/>
    <cellStyle name="Calculation 2 3 5 2" xfId="21363"/>
    <cellStyle name="Calculation 2 3 5 3" xfId="21461"/>
    <cellStyle name="Calculation 2 4" xfId="770"/>
    <cellStyle name="Calculation 2 4 2" xfId="771"/>
    <cellStyle name="Calculation 2 4 2 2" xfId="21362"/>
    <cellStyle name="Calculation 2 4 2 3" xfId="21462"/>
    <cellStyle name="Calculation 2 4 3" xfId="772"/>
    <cellStyle name="Calculation 2 4 3 2" xfId="21361"/>
    <cellStyle name="Calculation 2 4 3 3" xfId="21463"/>
    <cellStyle name="Calculation 2 4 4" xfId="773"/>
    <cellStyle name="Calculation 2 4 4 2" xfId="21360"/>
    <cellStyle name="Calculation 2 4 4 3" xfId="21464"/>
    <cellStyle name="Calculation 2 4 5" xfId="774"/>
    <cellStyle name="Calculation 2 4 5 2" xfId="21359"/>
    <cellStyle name="Calculation 2 4 5 3" xfId="21465"/>
    <cellStyle name="Calculation 2 5" xfId="775"/>
    <cellStyle name="Calculation 2 5 2" xfId="776"/>
    <cellStyle name="Calculation 2 5 2 2" xfId="21358"/>
    <cellStyle name="Calculation 2 5 2 3" xfId="21466"/>
    <cellStyle name="Calculation 2 5 3" xfId="777"/>
    <cellStyle name="Calculation 2 5 3 2" xfId="21357"/>
    <cellStyle name="Calculation 2 5 3 3" xfId="21467"/>
    <cellStyle name="Calculation 2 5 4" xfId="778"/>
    <cellStyle name="Calculation 2 5 4 2" xfId="21356"/>
    <cellStyle name="Calculation 2 5 4 3" xfId="21468"/>
    <cellStyle name="Calculation 2 5 5" xfId="779"/>
    <cellStyle name="Calculation 2 5 5 2" xfId="21355"/>
    <cellStyle name="Calculation 2 5 5 3" xfId="21469"/>
    <cellStyle name="Calculation 2 6" xfId="780"/>
    <cellStyle name="Calculation 2 6 2" xfId="781"/>
    <cellStyle name="Calculation 2 6 2 2" xfId="21354"/>
    <cellStyle name="Calculation 2 6 2 3" xfId="21470"/>
    <cellStyle name="Calculation 2 6 3" xfId="782"/>
    <cellStyle name="Calculation 2 6 3 2" xfId="21353"/>
    <cellStyle name="Calculation 2 6 3 3" xfId="21471"/>
    <cellStyle name="Calculation 2 6 4" xfId="783"/>
    <cellStyle name="Calculation 2 6 4 2" xfId="21352"/>
    <cellStyle name="Calculation 2 6 4 3" xfId="21472"/>
    <cellStyle name="Calculation 2 6 5" xfId="784"/>
    <cellStyle name="Calculation 2 6 5 2" xfId="21351"/>
    <cellStyle name="Calculation 2 6 5 3" xfId="21473"/>
    <cellStyle name="Calculation 2 7" xfId="785"/>
    <cellStyle name="Calculation 2 7 2" xfId="786"/>
    <cellStyle name="Calculation 2 7 2 2" xfId="21350"/>
    <cellStyle name="Calculation 2 7 2 3" xfId="21474"/>
    <cellStyle name="Calculation 2 7 3" xfId="787"/>
    <cellStyle name="Calculation 2 7 3 2" xfId="21349"/>
    <cellStyle name="Calculation 2 7 3 3" xfId="21475"/>
    <cellStyle name="Calculation 2 7 4" xfId="788"/>
    <cellStyle name="Calculation 2 7 4 2" xfId="21348"/>
    <cellStyle name="Calculation 2 7 4 3" xfId="21476"/>
    <cellStyle name="Calculation 2 7 5" xfId="789"/>
    <cellStyle name="Calculation 2 7 5 2" xfId="21347"/>
    <cellStyle name="Calculation 2 7 5 3" xfId="21477"/>
    <cellStyle name="Calculation 2 8" xfId="790"/>
    <cellStyle name="Calculation 2 8 2" xfId="791"/>
    <cellStyle name="Calculation 2 8 2 2" xfId="21346"/>
    <cellStyle name="Calculation 2 8 2 3" xfId="21478"/>
    <cellStyle name="Calculation 2 8 3" xfId="792"/>
    <cellStyle name="Calculation 2 8 3 2" xfId="21345"/>
    <cellStyle name="Calculation 2 8 3 3" xfId="21479"/>
    <cellStyle name="Calculation 2 8 4" xfId="793"/>
    <cellStyle name="Calculation 2 8 4 2" xfId="21344"/>
    <cellStyle name="Calculation 2 8 4 3" xfId="21480"/>
    <cellStyle name="Calculation 2 8 5" xfId="794"/>
    <cellStyle name="Calculation 2 8 5 2" xfId="21343"/>
    <cellStyle name="Calculation 2 8 5 3" xfId="21481"/>
    <cellStyle name="Calculation 2 9" xfId="795"/>
    <cellStyle name="Calculation 2 9 2" xfId="796"/>
    <cellStyle name="Calculation 2 9 2 2" xfId="21342"/>
    <cellStyle name="Calculation 2 9 2 3" xfId="21482"/>
    <cellStyle name="Calculation 2 9 3" xfId="797"/>
    <cellStyle name="Calculation 2 9 3 2" xfId="21341"/>
    <cellStyle name="Calculation 2 9 3 3" xfId="21483"/>
    <cellStyle name="Calculation 2 9 4" xfId="798"/>
    <cellStyle name="Calculation 2 9 4 2" xfId="21340"/>
    <cellStyle name="Calculation 2 9 4 3" xfId="21484"/>
    <cellStyle name="Calculation 2 9 5" xfId="799"/>
    <cellStyle name="Calculation 2 9 5 2" xfId="21339"/>
    <cellStyle name="Calculation 2 9 5 3" xfId="21485"/>
    <cellStyle name="Calculation 3" xfId="800"/>
    <cellStyle name="Calculation 3 2" xfId="801"/>
    <cellStyle name="Calculation 3 2 2" xfId="21337"/>
    <cellStyle name="Calculation 3 2 3" xfId="21487"/>
    <cellStyle name="Calculation 3 3" xfId="802"/>
    <cellStyle name="Calculation 3 3 2" xfId="21336"/>
    <cellStyle name="Calculation 3 3 3" xfId="21488"/>
    <cellStyle name="Calculation 3 4" xfId="21338"/>
    <cellStyle name="Calculation 3 5" xfId="21486"/>
    <cellStyle name="Calculation 4" xfId="803"/>
    <cellStyle name="Calculation 4 2" xfId="804"/>
    <cellStyle name="Calculation 4 2 2" xfId="21334"/>
    <cellStyle name="Calculation 4 2 3" xfId="21490"/>
    <cellStyle name="Calculation 4 3" xfId="805"/>
    <cellStyle name="Calculation 4 3 2" xfId="21333"/>
    <cellStyle name="Calculation 4 3 3" xfId="21491"/>
    <cellStyle name="Calculation 4 4" xfId="21335"/>
    <cellStyle name="Calculation 4 5" xfId="21489"/>
    <cellStyle name="Calculation 5" xfId="806"/>
    <cellStyle name="Calculation 5 2" xfId="807"/>
    <cellStyle name="Calculation 5 2 2" xfId="21331"/>
    <cellStyle name="Calculation 5 2 3" xfId="21493"/>
    <cellStyle name="Calculation 5 3" xfId="808"/>
    <cellStyle name="Calculation 5 3 2" xfId="21330"/>
    <cellStyle name="Calculation 5 3 3" xfId="21494"/>
    <cellStyle name="Calculation 5 4" xfId="21332"/>
    <cellStyle name="Calculation 5 5" xfId="21492"/>
    <cellStyle name="Calculation 6" xfId="809"/>
    <cellStyle name="Calculation 6 2" xfId="810"/>
    <cellStyle name="Calculation 6 2 2" xfId="21328"/>
    <cellStyle name="Calculation 6 2 3" xfId="21496"/>
    <cellStyle name="Calculation 6 3" xfId="811"/>
    <cellStyle name="Calculation 6 3 2" xfId="21327"/>
    <cellStyle name="Calculation 6 3 3" xfId="21497"/>
    <cellStyle name="Calculation 6 4" xfId="21329"/>
    <cellStyle name="Calculation 6 5" xfId="21495"/>
    <cellStyle name="Calculation 7" xfId="812"/>
    <cellStyle name="Calculation 7 2" xfId="21326"/>
    <cellStyle name="Calculation 7 3" xfId="21498"/>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1864"/>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3" xfId="21500"/>
    <cellStyle name="Gia's 11" xfId="21325"/>
    <cellStyle name="Gia's 12" xfId="21499"/>
    <cellStyle name="Gia's 2" xfId="9187"/>
    <cellStyle name="Gia's 2 2" xfId="21323"/>
    <cellStyle name="Gia's 2 3" xfId="21501"/>
    <cellStyle name="Gia's 3" xfId="9188"/>
    <cellStyle name="Gia's 3 2" xfId="21322"/>
    <cellStyle name="Gia's 3 3" xfId="21502"/>
    <cellStyle name="Gia's 4" xfId="9189"/>
    <cellStyle name="Gia's 4 2" xfId="21321"/>
    <cellStyle name="Gia's 4 3" xfId="21503"/>
    <cellStyle name="Gia's 5" xfId="9190"/>
    <cellStyle name="Gia's 5 2" xfId="21320"/>
    <cellStyle name="Gia's 5 3" xfId="21504"/>
    <cellStyle name="Gia's 6" xfId="9191"/>
    <cellStyle name="Gia's 6 2" xfId="21319"/>
    <cellStyle name="Gia's 6 3" xfId="21505"/>
    <cellStyle name="Gia's 7" xfId="9192"/>
    <cellStyle name="Gia's 7 2" xfId="21318"/>
    <cellStyle name="Gia's 7 3" xfId="21506"/>
    <cellStyle name="Gia's 8" xfId="9193"/>
    <cellStyle name="Gia's 8 2" xfId="21317"/>
    <cellStyle name="Gia's 8 3" xfId="21507"/>
    <cellStyle name="Gia's 9" xfId="9194"/>
    <cellStyle name="Gia's 9 2" xfId="21316"/>
    <cellStyle name="Gia's 9 3" xfId="21508"/>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3" xfId="21509"/>
    <cellStyle name="Header1" xfId="9222"/>
    <cellStyle name="Header1 2" xfId="9223"/>
    <cellStyle name="Header1 3" xfId="9224"/>
    <cellStyle name="Header2" xfId="9225"/>
    <cellStyle name="Header2 2" xfId="9226"/>
    <cellStyle name="Header2 2 2" xfId="21313"/>
    <cellStyle name="Header2 2 3" xfId="21511"/>
    <cellStyle name="Header2 3" xfId="9227"/>
    <cellStyle name="Header2 3 2" xfId="21312"/>
    <cellStyle name="Header2 3 3" xfId="21512"/>
    <cellStyle name="Header2 4" xfId="21314"/>
    <cellStyle name="Header2 5" xfId="21510"/>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3" xfId="21513"/>
    <cellStyle name="highlightExposure" xfId="9323"/>
    <cellStyle name="highlightExposure 2" xfId="21310"/>
    <cellStyle name="highlightExposure 3" xfId="21514"/>
    <cellStyle name="highlightPercentage" xfId="9324"/>
    <cellStyle name="highlightPercentage 2" xfId="21309"/>
    <cellStyle name="highlightPercentage 3" xfId="21515"/>
    <cellStyle name="highlightText" xfId="9325"/>
    <cellStyle name="highlightText 2" xfId="21308"/>
    <cellStyle name="highlightText 3" xfId="21516"/>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2 3" xfId="21518"/>
    <cellStyle name="Input 2 10 3" xfId="9336"/>
    <cellStyle name="Input 2 10 3 2" xfId="21305"/>
    <cellStyle name="Input 2 10 3 3" xfId="21519"/>
    <cellStyle name="Input 2 10 4" xfId="9337"/>
    <cellStyle name="Input 2 10 4 2" xfId="21304"/>
    <cellStyle name="Input 2 10 4 3" xfId="21520"/>
    <cellStyle name="Input 2 10 5" xfId="9338"/>
    <cellStyle name="Input 2 10 5 2" xfId="21303"/>
    <cellStyle name="Input 2 10 5 3" xfId="21521"/>
    <cellStyle name="Input 2 11" xfId="9339"/>
    <cellStyle name="Input 2 11 2" xfId="9340"/>
    <cellStyle name="Input 2 11 2 2" xfId="21301"/>
    <cellStyle name="Input 2 11 2 3" xfId="21523"/>
    <cellStyle name="Input 2 11 3" xfId="9341"/>
    <cellStyle name="Input 2 11 3 2" xfId="21300"/>
    <cellStyle name="Input 2 11 3 3" xfId="21524"/>
    <cellStyle name="Input 2 11 4" xfId="9342"/>
    <cellStyle name="Input 2 11 4 2" xfId="21299"/>
    <cellStyle name="Input 2 11 4 3" xfId="21525"/>
    <cellStyle name="Input 2 11 5" xfId="9343"/>
    <cellStyle name="Input 2 11 5 2" xfId="21298"/>
    <cellStyle name="Input 2 11 5 3" xfId="21526"/>
    <cellStyle name="Input 2 11 6" xfId="21302"/>
    <cellStyle name="Input 2 11 7" xfId="21522"/>
    <cellStyle name="Input 2 12" xfId="9344"/>
    <cellStyle name="Input 2 12 2" xfId="9345"/>
    <cellStyle name="Input 2 12 2 2" xfId="21296"/>
    <cellStyle name="Input 2 12 2 3" xfId="21528"/>
    <cellStyle name="Input 2 12 3" xfId="9346"/>
    <cellStyle name="Input 2 12 3 2" xfId="21295"/>
    <cellStyle name="Input 2 12 3 3" xfId="21529"/>
    <cellStyle name="Input 2 12 4" xfId="9347"/>
    <cellStyle name="Input 2 12 4 2" xfId="21294"/>
    <cellStyle name="Input 2 12 4 3" xfId="21530"/>
    <cellStyle name="Input 2 12 5" xfId="9348"/>
    <cellStyle name="Input 2 12 5 2" xfId="21293"/>
    <cellStyle name="Input 2 12 5 3" xfId="21531"/>
    <cellStyle name="Input 2 12 6" xfId="21297"/>
    <cellStyle name="Input 2 12 7" xfId="21527"/>
    <cellStyle name="Input 2 13" xfId="9349"/>
    <cellStyle name="Input 2 13 2" xfId="9350"/>
    <cellStyle name="Input 2 13 2 2" xfId="21291"/>
    <cellStyle name="Input 2 13 2 3" xfId="21533"/>
    <cellStyle name="Input 2 13 3" xfId="9351"/>
    <cellStyle name="Input 2 13 3 2" xfId="21290"/>
    <cellStyle name="Input 2 13 3 3" xfId="21534"/>
    <cellStyle name="Input 2 13 4" xfId="9352"/>
    <cellStyle name="Input 2 13 4 2" xfId="21289"/>
    <cellStyle name="Input 2 13 4 3" xfId="21535"/>
    <cellStyle name="Input 2 13 5" xfId="21292"/>
    <cellStyle name="Input 2 13 6" xfId="21532"/>
    <cellStyle name="Input 2 14" xfId="9353"/>
    <cellStyle name="Input 2 14 2" xfId="21288"/>
    <cellStyle name="Input 2 14 3" xfId="21536"/>
    <cellStyle name="Input 2 15" xfId="9354"/>
    <cellStyle name="Input 2 15 2" xfId="21287"/>
    <cellStyle name="Input 2 15 3" xfId="21537"/>
    <cellStyle name="Input 2 16" xfId="9355"/>
    <cellStyle name="Input 2 16 2" xfId="21286"/>
    <cellStyle name="Input 2 16 3" xfId="21538"/>
    <cellStyle name="Input 2 17" xfId="21307"/>
    <cellStyle name="Input 2 18" xfId="21517"/>
    <cellStyle name="Input 2 2" xfId="9356"/>
    <cellStyle name="Input 2 2 10" xfId="21285"/>
    <cellStyle name="Input 2 2 11" xfId="21539"/>
    <cellStyle name="Input 2 2 2" xfId="9357"/>
    <cellStyle name="Input 2 2 2 2" xfId="9358"/>
    <cellStyle name="Input 2 2 2 2 2" xfId="21283"/>
    <cellStyle name="Input 2 2 2 2 3" xfId="21541"/>
    <cellStyle name="Input 2 2 2 3" xfId="9359"/>
    <cellStyle name="Input 2 2 2 3 2" xfId="21282"/>
    <cellStyle name="Input 2 2 2 3 3" xfId="21542"/>
    <cellStyle name="Input 2 2 2 4" xfId="9360"/>
    <cellStyle name="Input 2 2 2 4 2" xfId="21281"/>
    <cellStyle name="Input 2 2 2 4 3" xfId="21543"/>
    <cellStyle name="Input 2 2 2 5" xfId="21284"/>
    <cellStyle name="Input 2 2 2 6" xfId="21540"/>
    <cellStyle name="Input 2 2 3" xfId="9361"/>
    <cellStyle name="Input 2 2 3 2" xfId="9362"/>
    <cellStyle name="Input 2 2 3 2 2" xfId="21279"/>
    <cellStyle name="Input 2 2 3 2 3" xfId="21545"/>
    <cellStyle name="Input 2 2 3 3" xfId="9363"/>
    <cellStyle name="Input 2 2 3 3 2" xfId="21278"/>
    <cellStyle name="Input 2 2 3 3 3" xfId="21546"/>
    <cellStyle name="Input 2 2 3 4" xfId="9364"/>
    <cellStyle name="Input 2 2 3 4 2" xfId="21277"/>
    <cellStyle name="Input 2 2 3 4 3" xfId="21547"/>
    <cellStyle name="Input 2 2 3 5" xfId="21280"/>
    <cellStyle name="Input 2 2 3 6" xfId="21544"/>
    <cellStyle name="Input 2 2 4" xfId="9365"/>
    <cellStyle name="Input 2 2 4 2" xfId="9366"/>
    <cellStyle name="Input 2 2 4 2 2" xfId="21275"/>
    <cellStyle name="Input 2 2 4 2 3" xfId="21549"/>
    <cellStyle name="Input 2 2 4 3" xfId="9367"/>
    <cellStyle name="Input 2 2 4 3 2" xfId="21274"/>
    <cellStyle name="Input 2 2 4 3 3" xfId="21550"/>
    <cellStyle name="Input 2 2 4 4" xfId="9368"/>
    <cellStyle name="Input 2 2 4 4 2" xfId="21273"/>
    <cellStyle name="Input 2 2 4 4 3" xfId="21551"/>
    <cellStyle name="Input 2 2 4 5" xfId="21276"/>
    <cellStyle name="Input 2 2 4 6" xfId="21548"/>
    <cellStyle name="Input 2 2 5" xfId="9369"/>
    <cellStyle name="Input 2 2 5 2" xfId="9370"/>
    <cellStyle name="Input 2 2 5 2 2" xfId="21271"/>
    <cellStyle name="Input 2 2 5 2 3" xfId="21553"/>
    <cellStyle name="Input 2 2 5 3" xfId="9371"/>
    <cellStyle name="Input 2 2 5 3 2" xfId="21270"/>
    <cellStyle name="Input 2 2 5 3 3" xfId="21554"/>
    <cellStyle name="Input 2 2 5 4" xfId="9372"/>
    <cellStyle name="Input 2 2 5 4 2" xfId="21269"/>
    <cellStyle name="Input 2 2 5 4 3" xfId="21555"/>
    <cellStyle name="Input 2 2 5 5" xfId="21272"/>
    <cellStyle name="Input 2 2 5 6" xfId="21552"/>
    <cellStyle name="Input 2 2 6" xfId="9373"/>
    <cellStyle name="Input 2 2 6 2" xfId="21268"/>
    <cellStyle name="Input 2 2 6 3" xfId="21556"/>
    <cellStyle name="Input 2 2 7" xfId="9374"/>
    <cellStyle name="Input 2 2 7 2" xfId="21267"/>
    <cellStyle name="Input 2 2 7 3" xfId="21557"/>
    <cellStyle name="Input 2 2 8" xfId="9375"/>
    <cellStyle name="Input 2 2 8 2" xfId="21266"/>
    <cellStyle name="Input 2 2 8 3" xfId="21558"/>
    <cellStyle name="Input 2 2 9" xfId="9376"/>
    <cellStyle name="Input 2 2 9 2" xfId="21265"/>
    <cellStyle name="Input 2 2 9 3" xfId="21559"/>
    <cellStyle name="Input 2 3" xfId="9377"/>
    <cellStyle name="Input 2 3 2" xfId="9378"/>
    <cellStyle name="Input 2 3 2 2" xfId="21264"/>
    <cellStyle name="Input 2 3 2 3" xfId="21560"/>
    <cellStyle name="Input 2 3 3" xfId="9379"/>
    <cellStyle name="Input 2 3 3 2" xfId="21263"/>
    <cellStyle name="Input 2 3 3 3" xfId="21561"/>
    <cellStyle name="Input 2 3 4" xfId="9380"/>
    <cellStyle name="Input 2 3 4 2" xfId="21262"/>
    <cellStyle name="Input 2 3 4 3" xfId="21562"/>
    <cellStyle name="Input 2 3 5" xfId="9381"/>
    <cellStyle name="Input 2 3 5 2" xfId="21261"/>
    <cellStyle name="Input 2 3 5 3" xfId="21563"/>
    <cellStyle name="Input 2 4" xfId="9382"/>
    <cellStyle name="Input 2 4 2" xfId="9383"/>
    <cellStyle name="Input 2 4 2 2" xfId="21260"/>
    <cellStyle name="Input 2 4 2 3" xfId="21564"/>
    <cellStyle name="Input 2 4 3" xfId="9384"/>
    <cellStyle name="Input 2 4 3 2" xfId="21259"/>
    <cellStyle name="Input 2 4 3 3" xfId="21565"/>
    <cellStyle name="Input 2 4 4" xfId="9385"/>
    <cellStyle name="Input 2 4 4 2" xfId="21258"/>
    <cellStyle name="Input 2 4 4 3" xfId="21566"/>
    <cellStyle name="Input 2 4 5" xfId="9386"/>
    <cellStyle name="Input 2 4 5 2" xfId="21257"/>
    <cellStyle name="Input 2 4 5 3" xfId="21567"/>
    <cellStyle name="Input 2 5" xfId="9387"/>
    <cellStyle name="Input 2 5 2" xfId="9388"/>
    <cellStyle name="Input 2 5 2 2" xfId="21256"/>
    <cellStyle name="Input 2 5 2 3" xfId="21568"/>
    <cellStyle name="Input 2 5 3" xfId="9389"/>
    <cellStyle name="Input 2 5 3 2" xfId="21255"/>
    <cellStyle name="Input 2 5 3 3" xfId="21569"/>
    <cellStyle name="Input 2 5 4" xfId="9390"/>
    <cellStyle name="Input 2 5 4 2" xfId="21254"/>
    <cellStyle name="Input 2 5 4 3" xfId="21570"/>
    <cellStyle name="Input 2 5 5" xfId="9391"/>
    <cellStyle name="Input 2 5 5 2" xfId="21253"/>
    <cellStyle name="Input 2 5 5 3" xfId="21571"/>
    <cellStyle name="Input 2 6" xfId="9392"/>
    <cellStyle name="Input 2 6 2" xfId="9393"/>
    <cellStyle name="Input 2 6 2 2" xfId="21252"/>
    <cellStyle name="Input 2 6 2 3" xfId="21572"/>
    <cellStyle name="Input 2 6 3" xfId="9394"/>
    <cellStyle name="Input 2 6 3 2" xfId="21251"/>
    <cellStyle name="Input 2 6 3 3" xfId="21573"/>
    <cellStyle name="Input 2 6 4" xfId="9395"/>
    <cellStyle name="Input 2 6 4 2" xfId="21250"/>
    <cellStyle name="Input 2 6 4 3" xfId="21574"/>
    <cellStyle name="Input 2 6 5" xfId="9396"/>
    <cellStyle name="Input 2 6 5 2" xfId="21249"/>
    <cellStyle name="Input 2 6 5 3" xfId="21575"/>
    <cellStyle name="Input 2 7" xfId="9397"/>
    <cellStyle name="Input 2 7 2" xfId="9398"/>
    <cellStyle name="Input 2 7 2 2" xfId="21248"/>
    <cellStyle name="Input 2 7 2 3" xfId="21576"/>
    <cellStyle name="Input 2 7 3" xfId="9399"/>
    <cellStyle name="Input 2 7 3 2" xfId="21247"/>
    <cellStyle name="Input 2 7 3 3" xfId="21577"/>
    <cellStyle name="Input 2 7 4" xfId="9400"/>
    <cellStyle name="Input 2 7 4 2" xfId="21246"/>
    <cellStyle name="Input 2 7 4 3" xfId="21578"/>
    <cellStyle name="Input 2 7 5" xfId="9401"/>
    <cellStyle name="Input 2 7 5 2" xfId="21245"/>
    <cellStyle name="Input 2 7 5 3" xfId="21579"/>
    <cellStyle name="Input 2 8" xfId="9402"/>
    <cellStyle name="Input 2 8 2" xfId="9403"/>
    <cellStyle name="Input 2 8 2 2" xfId="21244"/>
    <cellStyle name="Input 2 8 2 3" xfId="21580"/>
    <cellStyle name="Input 2 8 3" xfId="9404"/>
    <cellStyle name="Input 2 8 3 2" xfId="21243"/>
    <cellStyle name="Input 2 8 3 3" xfId="21581"/>
    <cellStyle name="Input 2 8 4" xfId="9405"/>
    <cellStyle name="Input 2 8 4 2" xfId="21242"/>
    <cellStyle name="Input 2 8 4 3" xfId="21582"/>
    <cellStyle name="Input 2 8 5" xfId="9406"/>
    <cellStyle name="Input 2 8 5 2" xfId="21241"/>
    <cellStyle name="Input 2 8 5 3" xfId="21583"/>
    <cellStyle name="Input 2 9" xfId="9407"/>
    <cellStyle name="Input 2 9 2" xfId="9408"/>
    <cellStyle name="Input 2 9 2 2" xfId="21240"/>
    <cellStyle name="Input 2 9 2 3" xfId="21584"/>
    <cellStyle name="Input 2 9 3" xfId="9409"/>
    <cellStyle name="Input 2 9 3 2" xfId="21239"/>
    <cellStyle name="Input 2 9 3 3" xfId="21585"/>
    <cellStyle name="Input 2 9 4" xfId="9410"/>
    <cellStyle name="Input 2 9 4 2" xfId="21238"/>
    <cellStyle name="Input 2 9 4 3" xfId="21586"/>
    <cellStyle name="Input 2 9 5" xfId="9411"/>
    <cellStyle name="Input 2 9 5 2" xfId="21237"/>
    <cellStyle name="Input 2 9 5 3" xfId="21587"/>
    <cellStyle name="Input 3" xfId="9412"/>
    <cellStyle name="Input 3 2" xfId="9413"/>
    <cellStyle name="Input 3 2 2" xfId="21235"/>
    <cellStyle name="Input 3 2 3" xfId="21589"/>
    <cellStyle name="Input 3 3" xfId="9414"/>
    <cellStyle name="Input 3 3 2" xfId="21234"/>
    <cellStyle name="Input 3 3 3" xfId="21590"/>
    <cellStyle name="Input 3 4" xfId="21236"/>
    <cellStyle name="Input 3 5" xfId="21588"/>
    <cellStyle name="Input 4" xfId="9415"/>
    <cellStyle name="Input 4 2" xfId="9416"/>
    <cellStyle name="Input 4 2 2" xfId="21232"/>
    <cellStyle name="Input 4 2 3" xfId="21592"/>
    <cellStyle name="Input 4 3" xfId="9417"/>
    <cellStyle name="Input 4 3 2" xfId="21231"/>
    <cellStyle name="Input 4 3 3" xfId="21593"/>
    <cellStyle name="Input 4 4" xfId="21233"/>
    <cellStyle name="Input 4 5" xfId="21591"/>
    <cellStyle name="Input 5" xfId="9418"/>
    <cellStyle name="Input 5 2" xfId="9419"/>
    <cellStyle name="Input 5 2 2" xfId="21229"/>
    <cellStyle name="Input 5 2 3" xfId="21595"/>
    <cellStyle name="Input 5 3" xfId="9420"/>
    <cellStyle name="Input 5 3 2" xfId="21228"/>
    <cellStyle name="Input 5 3 3" xfId="21596"/>
    <cellStyle name="Input 5 4" xfId="21230"/>
    <cellStyle name="Input 5 5" xfId="21594"/>
    <cellStyle name="Input 6" xfId="9421"/>
    <cellStyle name="Input 6 2" xfId="9422"/>
    <cellStyle name="Input 6 2 2" xfId="21226"/>
    <cellStyle name="Input 6 2 3" xfId="21598"/>
    <cellStyle name="Input 6 3" xfId="9423"/>
    <cellStyle name="Input 6 3 2" xfId="21225"/>
    <cellStyle name="Input 6 3 3" xfId="21599"/>
    <cellStyle name="Input 6 4" xfId="21227"/>
    <cellStyle name="Input 6 5" xfId="21597"/>
    <cellStyle name="Input 7" xfId="9424"/>
    <cellStyle name="Input 7 2" xfId="21224"/>
    <cellStyle name="Input 7 3" xfId="21600"/>
    <cellStyle name="inputExposure" xfId="9425"/>
    <cellStyle name="inputExposure 2" xfId="21223"/>
    <cellStyle name="inputExposure 3" xfId="21601"/>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4" xfId="21863"/>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603"/>
    <cellStyle name="Note 2 10 3" xfId="20386"/>
    <cellStyle name="Note 2 10 3 2" xfId="21220"/>
    <cellStyle name="Note 2 10 3 3" xfId="21604"/>
    <cellStyle name="Note 2 10 4" xfId="20387"/>
    <cellStyle name="Note 2 10 4 2" xfId="21219"/>
    <cellStyle name="Note 2 10 4 3" xfId="21605"/>
    <cellStyle name="Note 2 10 5" xfId="20388"/>
    <cellStyle name="Note 2 10 5 2" xfId="21218"/>
    <cellStyle name="Note 2 10 5 3" xfId="21606"/>
    <cellStyle name="Note 2 11" xfId="20389"/>
    <cellStyle name="Note 2 11 2" xfId="20390"/>
    <cellStyle name="Note 2 11 2 2" xfId="21217"/>
    <cellStyle name="Note 2 11 2 3" xfId="21607"/>
    <cellStyle name="Note 2 11 3" xfId="20391"/>
    <cellStyle name="Note 2 11 3 2" xfId="21216"/>
    <cellStyle name="Note 2 11 3 3" xfId="21608"/>
    <cellStyle name="Note 2 11 4" xfId="20392"/>
    <cellStyle name="Note 2 11 4 2" xfId="21215"/>
    <cellStyle name="Note 2 11 4 3" xfId="21609"/>
    <cellStyle name="Note 2 11 5" xfId="20393"/>
    <cellStyle name="Note 2 11 5 2" xfId="21214"/>
    <cellStyle name="Note 2 11 5 3" xfId="21610"/>
    <cellStyle name="Note 2 12" xfId="20394"/>
    <cellStyle name="Note 2 12 2" xfId="20395"/>
    <cellStyle name="Note 2 12 2 2" xfId="21213"/>
    <cellStyle name="Note 2 12 2 3" xfId="21611"/>
    <cellStyle name="Note 2 12 3" xfId="20396"/>
    <cellStyle name="Note 2 12 3 2" xfId="21212"/>
    <cellStyle name="Note 2 12 3 3" xfId="21612"/>
    <cellStyle name="Note 2 12 4" xfId="20397"/>
    <cellStyle name="Note 2 12 4 2" xfId="21211"/>
    <cellStyle name="Note 2 12 4 3" xfId="21613"/>
    <cellStyle name="Note 2 12 5" xfId="20398"/>
    <cellStyle name="Note 2 12 5 2" xfId="21210"/>
    <cellStyle name="Note 2 12 5 3" xfId="21614"/>
    <cellStyle name="Note 2 13" xfId="20399"/>
    <cellStyle name="Note 2 13 2" xfId="20400"/>
    <cellStyle name="Note 2 13 2 2" xfId="21209"/>
    <cellStyle name="Note 2 13 2 3" xfId="21615"/>
    <cellStyle name="Note 2 13 3" xfId="20401"/>
    <cellStyle name="Note 2 13 3 2" xfId="21208"/>
    <cellStyle name="Note 2 13 3 3" xfId="21616"/>
    <cellStyle name="Note 2 13 4" xfId="20402"/>
    <cellStyle name="Note 2 13 4 2" xfId="21207"/>
    <cellStyle name="Note 2 13 4 3" xfId="21617"/>
    <cellStyle name="Note 2 13 5" xfId="20403"/>
    <cellStyle name="Note 2 13 5 2" xfId="21206"/>
    <cellStyle name="Note 2 13 5 3" xfId="21618"/>
    <cellStyle name="Note 2 14" xfId="20404"/>
    <cellStyle name="Note 2 14 2" xfId="20405"/>
    <cellStyle name="Note 2 14 2 2" xfId="21204"/>
    <cellStyle name="Note 2 14 2 3" xfId="21620"/>
    <cellStyle name="Note 2 14 3" xfId="21205"/>
    <cellStyle name="Note 2 14 4" xfId="21619"/>
    <cellStyle name="Note 2 15" xfId="20406"/>
    <cellStyle name="Note 2 15 2" xfId="20407"/>
    <cellStyle name="Note 2 15 2 2" xfId="21203"/>
    <cellStyle name="Note 2 15 2 3" xfId="21621"/>
    <cellStyle name="Note 2 16" xfId="20408"/>
    <cellStyle name="Note 2 16 2" xfId="21202"/>
    <cellStyle name="Note 2 16 3" xfId="21622"/>
    <cellStyle name="Note 2 17" xfId="20409"/>
    <cellStyle name="Note 2 17 2" xfId="21201"/>
    <cellStyle name="Note 2 17 3" xfId="21623"/>
    <cellStyle name="Note 2 18" xfId="21222"/>
    <cellStyle name="Note 2 19" xfId="21602"/>
    <cellStyle name="Note 2 2" xfId="20410"/>
    <cellStyle name="Note 2 2 10" xfId="20411"/>
    <cellStyle name="Note 2 2 10 2" xfId="21199"/>
    <cellStyle name="Note 2 2 10 3" xfId="21625"/>
    <cellStyle name="Note 2 2 11" xfId="21200"/>
    <cellStyle name="Note 2 2 12" xfId="21624"/>
    <cellStyle name="Note 2 2 2" xfId="20412"/>
    <cellStyle name="Note 2 2 2 2" xfId="20413"/>
    <cellStyle name="Note 2 2 2 2 2" xfId="21197"/>
    <cellStyle name="Note 2 2 2 2 3" xfId="21627"/>
    <cellStyle name="Note 2 2 2 3" xfId="20414"/>
    <cellStyle name="Note 2 2 2 3 2" xfId="21196"/>
    <cellStyle name="Note 2 2 2 3 3" xfId="21628"/>
    <cellStyle name="Note 2 2 2 4" xfId="20415"/>
    <cellStyle name="Note 2 2 2 4 2" xfId="21195"/>
    <cellStyle name="Note 2 2 2 4 3" xfId="21629"/>
    <cellStyle name="Note 2 2 2 5" xfId="20416"/>
    <cellStyle name="Note 2 2 2 5 2" xfId="21194"/>
    <cellStyle name="Note 2 2 2 5 3" xfId="21630"/>
    <cellStyle name="Note 2 2 2 6" xfId="21198"/>
    <cellStyle name="Note 2 2 2 7" xfId="21626"/>
    <cellStyle name="Note 2 2 3" xfId="20417"/>
    <cellStyle name="Note 2 2 3 2" xfId="20418"/>
    <cellStyle name="Note 2 2 3 2 2" xfId="21193"/>
    <cellStyle name="Note 2 2 3 2 3" xfId="21631"/>
    <cellStyle name="Note 2 2 3 3" xfId="20419"/>
    <cellStyle name="Note 2 2 3 3 2" xfId="21192"/>
    <cellStyle name="Note 2 2 3 3 3" xfId="21632"/>
    <cellStyle name="Note 2 2 3 4" xfId="20420"/>
    <cellStyle name="Note 2 2 3 4 2" xfId="21191"/>
    <cellStyle name="Note 2 2 3 4 3" xfId="21633"/>
    <cellStyle name="Note 2 2 3 5" xfId="20421"/>
    <cellStyle name="Note 2 2 3 5 2" xfId="21190"/>
    <cellStyle name="Note 2 2 3 5 3" xfId="21634"/>
    <cellStyle name="Note 2 2 4" xfId="20422"/>
    <cellStyle name="Note 2 2 4 2" xfId="20423"/>
    <cellStyle name="Note 2 2 4 2 2" xfId="21188"/>
    <cellStyle name="Note 2 2 4 2 3" xfId="21636"/>
    <cellStyle name="Note 2 2 4 3" xfId="20424"/>
    <cellStyle name="Note 2 2 4 3 2" xfId="21187"/>
    <cellStyle name="Note 2 2 4 3 3" xfId="21637"/>
    <cellStyle name="Note 2 2 4 4" xfId="20425"/>
    <cellStyle name="Note 2 2 4 4 2" xfId="21186"/>
    <cellStyle name="Note 2 2 4 4 3" xfId="21638"/>
    <cellStyle name="Note 2 2 4 5" xfId="21189"/>
    <cellStyle name="Note 2 2 4 6" xfId="21635"/>
    <cellStyle name="Note 2 2 5" xfId="20426"/>
    <cellStyle name="Note 2 2 5 2" xfId="20427"/>
    <cellStyle name="Note 2 2 5 2 2" xfId="21184"/>
    <cellStyle name="Note 2 2 5 2 3" xfId="21640"/>
    <cellStyle name="Note 2 2 5 3" xfId="20428"/>
    <cellStyle name="Note 2 2 5 3 2" xfId="21183"/>
    <cellStyle name="Note 2 2 5 3 3" xfId="21641"/>
    <cellStyle name="Note 2 2 5 4" xfId="20429"/>
    <cellStyle name="Note 2 2 5 4 2" xfId="21182"/>
    <cellStyle name="Note 2 2 5 4 3" xfId="21642"/>
    <cellStyle name="Note 2 2 5 5" xfId="21185"/>
    <cellStyle name="Note 2 2 5 6" xfId="21639"/>
    <cellStyle name="Note 2 2 6" xfId="20430"/>
    <cellStyle name="Note 2 2 6 2" xfId="21181"/>
    <cellStyle name="Note 2 2 6 3" xfId="21643"/>
    <cellStyle name="Note 2 2 7" xfId="20431"/>
    <cellStyle name="Note 2 2 7 2" xfId="21180"/>
    <cellStyle name="Note 2 2 7 3" xfId="21644"/>
    <cellStyle name="Note 2 2 8" xfId="20432"/>
    <cellStyle name="Note 2 2 8 2" xfId="21179"/>
    <cellStyle name="Note 2 2 8 3" xfId="21645"/>
    <cellStyle name="Note 2 2 9" xfId="20433"/>
    <cellStyle name="Note 2 2 9 2" xfId="21178"/>
    <cellStyle name="Note 2 2 9 3" xfId="21646"/>
    <cellStyle name="Note 2 3" xfId="20434"/>
    <cellStyle name="Note 2 3 2" xfId="20435"/>
    <cellStyle name="Note 2 3 2 2" xfId="21177"/>
    <cellStyle name="Note 2 3 2 3" xfId="21647"/>
    <cellStyle name="Note 2 3 3" xfId="20436"/>
    <cellStyle name="Note 2 3 3 2" xfId="21176"/>
    <cellStyle name="Note 2 3 3 3" xfId="21648"/>
    <cellStyle name="Note 2 3 4" xfId="20437"/>
    <cellStyle name="Note 2 3 4 2" xfId="21175"/>
    <cellStyle name="Note 2 3 4 3" xfId="21649"/>
    <cellStyle name="Note 2 3 5" xfId="20438"/>
    <cellStyle name="Note 2 3 5 2" xfId="21174"/>
    <cellStyle name="Note 2 3 5 3" xfId="21650"/>
    <cellStyle name="Note 2 4" xfId="20439"/>
    <cellStyle name="Note 2 4 2" xfId="20440"/>
    <cellStyle name="Note 2 4 2 2" xfId="20441"/>
    <cellStyle name="Note 2 4 2 2 2" xfId="21173"/>
    <cellStyle name="Note 2 4 2 2 3" xfId="21651"/>
    <cellStyle name="Note 2 4 3" xfId="20442"/>
    <cellStyle name="Note 2 4 3 2" xfId="20443"/>
    <cellStyle name="Note 2 4 3 2 2" xfId="21172"/>
    <cellStyle name="Note 2 4 3 2 3" xfId="21652"/>
    <cellStyle name="Note 2 4 4" xfId="20444"/>
    <cellStyle name="Note 2 4 4 2" xfId="20445"/>
    <cellStyle name="Note 2 4 4 2 2" xfId="21171"/>
    <cellStyle name="Note 2 4 4 2 3" xfId="21653"/>
    <cellStyle name="Note 2 4 5" xfId="20446"/>
    <cellStyle name="Note 2 4 6" xfId="20447"/>
    <cellStyle name="Note 2 4 7" xfId="20448"/>
    <cellStyle name="Note 2 4 7 2" xfId="21170"/>
    <cellStyle name="Note 2 4 7 3" xfId="21654"/>
    <cellStyle name="Note 2 5" xfId="20449"/>
    <cellStyle name="Note 2 5 2" xfId="20450"/>
    <cellStyle name="Note 2 5 2 2" xfId="20451"/>
    <cellStyle name="Note 2 5 2 2 2" xfId="21169"/>
    <cellStyle name="Note 2 5 2 2 3" xfId="21655"/>
    <cellStyle name="Note 2 5 3" xfId="20452"/>
    <cellStyle name="Note 2 5 3 2" xfId="20453"/>
    <cellStyle name="Note 2 5 3 2 2" xfId="21168"/>
    <cellStyle name="Note 2 5 3 2 3" xfId="21656"/>
    <cellStyle name="Note 2 5 4" xfId="20454"/>
    <cellStyle name="Note 2 5 4 2" xfId="20455"/>
    <cellStyle name="Note 2 5 4 2 2" xfId="21167"/>
    <cellStyle name="Note 2 5 4 2 3" xfId="21657"/>
    <cellStyle name="Note 2 5 5" xfId="20456"/>
    <cellStyle name="Note 2 5 6" xfId="20457"/>
    <cellStyle name="Note 2 5 7" xfId="20458"/>
    <cellStyle name="Note 2 5 7 2" xfId="21166"/>
    <cellStyle name="Note 2 5 7 3" xfId="21658"/>
    <cellStyle name="Note 2 6" xfId="20459"/>
    <cellStyle name="Note 2 6 2" xfId="20460"/>
    <cellStyle name="Note 2 6 2 2" xfId="20461"/>
    <cellStyle name="Note 2 6 2 2 2" xfId="21165"/>
    <cellStyle name="Note 2 6 2 2 3" xfId="21659"/>
    <cellStyle name="Note 2 6 3" xfId="20462"/>
    <cellStyle name="Note 2 6 3 2" xfId="20463"/>
    <cellStyle name="Note 2 6 3 2 2" xfId="21164"/>
    <cellStyle name="Note 2 6 3 2 3" xfId="21660"/>
    <cellStyle name="Note 2 6 4" xfId="20464"/>
    <cellStyle name="Note 2 6 4 2" xfId="20465"/>
    <cellStyle name="Note 2 6 4 2 2" xfId="21163"/>
    <cellStyle name="Note 2 6 4 2 3" xfId="21661"/>
    <cellStyle name="Note 2 6 5" xfId="20466"/>
    <cellStyle name="Note 2 6 6" xfId="20467"/>
    <cellStyle name="Note 2 6 7" xfId="20468"/>
    <cellStyle name="Note 2 6 7 2" xfId="21162"/>
    <cellStyle name="Note 2 6 7 3" xfId="21662"/>
    <cellStyle name="Note 2 7" xfId="20469"/>
    <cellStyle name="Note 2 7 2" xfId="20470"/>
    <cellStyle name="Note 2 7 2 2" xfId="20471"/>
    <cellStyle name="Note 2 7 2 2 2" xfId="21161"/>
    <cellStyle name="Note 2 7 2 2 3" xfId="21663"/>
    <cellStyle name="Note 2 7 3" xfId="20472"/>
    <cellStyle name="Note 2 7 3 2" xfId="20473"/>
    <cellStyle name="Note 2 7 3 2 2" xfId="21160"/>
    <cellStyle name="Note 2 7 3 2 3" xfId="21664"/>
    <cellStyle name="Note 2 7 4" xfId="20474"/>
    <cellStyle name="Note 2 7 4 2" xfId="20475"/>
    <cellStyle name="Note 2 7 4 2 2" xfId="21159"/>
    <cellStyle name="Note 2 7 4 2 3" xfId="21665"/>
    <cellStyle name="Note 2 7 5" xfId="20476"/>
    <cellStyle name="Note 2 7 6" xfId="20477"/>
    <cellStyle name="Note 2 7 7" xfId="20478"/>
    <cellStyle name="Note 2 7 7 2" xfId="21158"/>
    <cellStyle name="Note 2 7 7 3" xfId="21666"/>
    <cellStyle name="Note 2 8" xfId="20479"/>
    <cellStyle name="Note 2 8 2" xfId="20480"/>
    <cellStyle name="Note 2 8 2 2" xfId="21157"/>
    <cellStyle name="Note 2 8 2 3" xfId="21667"/>
    <cellStyle name="Note 2 8 3" xfId="20481"/>
    <cellStyle name="Note 2 8 3 2" xfId="21156"/>
    <cellStyle name="Note 2 8 3 3" xfId="21668"/>
    <cellStyle name="Note 2 8 4" xfId="20482"/>
    <cellStyle name="Note 2 8 4 2" xfId="21155"/>
    <cellStyle name="Note 2 8 4 3" xfId="21669"/>
    <cellStyle name="Note 2 8 5" xfId="20483"/>
    <cellStyle name="Note 2 8 5 2" xfId="21154"/>
    <cellStyle name="Note 2 8 5 3" xfId="21670"/>
    <cellStyle name="Note 2 9" xfId="20484"/>
    <cellStyle name="Note 2 9 2" xfId="20485"/>
    <cellStyle name="Note 2 9 2 2" xfId="21153"/>
    <cellStyle name="Note 2 9 2 3" xfId="21671"/>
    <cellStyle name="Note 2 9 3" xfId="20486"/>
    <cellStyle name="Note 2 9 3 2" xfId="21152"/>
    <cellStyle name="Note 2 9 3 3" xfId="21672"/>
    <cellStyle name="Note 2 9 4" xfId="20487"/>
    <cellStyle name="Note 2 9 4 2" xfId="21151"/>
    <cellStyle name="Note 2 9 4 3" xfId="21673"/>
    <cellStyle name="Note 2 9 5" xfId="20488"/>
    <cellStyle name="Note 2 9 5 2" xfId="21150"/>
    <cellStyle name="Note 2 9 5 3" xfId="21674"/>
    <cellStyle name="Note 3 2" xfId="20489"/>
    <cellStyle name="Note 3 2 2" xfId="20490"/>
    <cellStyle name="Note 3 2 2 2" xfId="21148"/>
    <cellStyle name="Note 3 2 2 3" xfId="21676"/>
    <cellStyle name="Note 3 2 3" xfId="20491"/>
    <cellStyle name="Note 3 2 4" xfId="21149"/>
    <cellStyle name="Note 3 2 5" xfId="21675"/>
    <cellStyle name="Note 3 3" xfId="20492"/>
    <cellStyle name="Note 3 3 2" xfId="20493"/>
    <cellStyle name="Note 3 3 3" xfId="21147"/>
    <cellStyle name="Note 3 3 4" xfId="21677"/>
    <cellStyle name="Note 3 4" xfId="20494"/>
    <cellStyle name="Note 3 4 2" xfId="21146"/>
    <cellStyle name="Note 3 4 3" xfId="21678"/>
    <cellStyle name="Note 3 5" xfId="20495"/>
    <cellStyle name="Note 4 2" xfId="20496"/>
    <cellStyle name="Note 4 2 2" xfId="20497"/>
    <cellStyle name="Note 4 2 2 2" xfId="21144"/>
    <cellStyle name="Note 4 2 2 3" xfId="21680"/>
    <cellStyle name="Note 4 2 3" xfId="20498"/>
    <cellStyle name="Note 4 2 4" xfId="21145"/>
    <cellStyle name="Note 4 2 5" xfId="21679"/>
    <cellStyle name="Note 4 3" xfId="20499"/>
    <cellStyle name="Note 4 4" xfId="20500"/>
    <cellStyle name="Note 4 4 2" xfId="21143"/>
    <cellStyle name="Note 4 4 3" xfId="21681"/>
    <cellStyle name="Note 4 5" xfId="20501"/>
    <cellStyle name="Note 5" xfId="20502"/>
    <cellStyle name="Note 5 2" xfId="20503"/>
    <cellStyle name="Note 5 2 2" xfId="20504"/>
    <cellStyle name="Note 5 2 3" xfId="21141"/>
    <cellStyle name="Note 5 2 4" xfId="21683"/>
    <cellStyle name="Note 5 3" xfId="20505"/>
    <cellStyle name="Note 5 3 2" xfId="20506"/>
    <cellStyle name="Note 5 3 3" xfId="21140"/>
    <cellStyle name="Note 5 3 4" xfId="21684"/>
    <cellStyle name="Note 5 4" xfId="20507"/>
    <cellStyle name="Note 5 4 2" xfId="21139"/>
    <cellStyle name="Note 5 4 3" xfId="21685"/>
    <cellStyle name="Note 5 5" xfId="20508"/>
    <cellStyle name="Note 5 6" xfId="21142"/>
    <cellStyle name="Note 5 7" xfId="21682"/>
    <cellStyle name="Note 6" xfId="20509"/>
    <cellStyle name="Note 6 2" xfId="20510"/>
    <cellStyle name="Note 6 2 2" xfId="20511"/>
    <cellStyle name="Note 6 2 3" xfId="21137"/>
    <cellStyle name="Note 6 2 4" xfId="21687"/>
    <cellStyle name="Note 6 3" xfId="20512"/>
    <cellStyle name="Note 6 4" xfId="20513"/>
    <cellStyle name="Note 6 5" xfId="21138"/>
    <cellStyle name="Note 6 6" xfId="21686"/>
    <cellStyle name="Note 7" xfId="20514"/>
    <cellStyle name="Note 7 2" xfId="21136"/>
    <cellStyle name="Note 7 3" xfId="21688"/>
    <cellStyle name="Note 8" xfId="20515"/>
    <cellStyle name="Note 8 2" xfId="20516"/>
    <cellStyle name="Note 8 2 2" xfId="21134"/>
    <cellStyle name="Note 8 2 3" xfId="21690"/>
    <cellStyle name="Note 8 3" xfId="21135"/>
    <cellStyle name="Note 8 4" xfId="21689"/>
    <cellStyle name="Note 9" xfId="20517"/>
    <cellStyle name="Note 9 2" xfId="21133"/>
    <cellStyle name="Note 9 3" xfId="21691"/>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3" xfId="2169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694"/>
    <cellStyle name="Output 2 10 3" xfId="20531"/>
    <cellStyle name="Output 2 10 3 2" xfId="21129"/>
    <cellStyle name="Output 2 10 3 3" xfId="21695"/>
    <cellStyle name="Output 2 10 4" xfId="20532"/>
    <cellStyle name="Output 2 10 4 2" xfId="21128"/>
    <cellStyle name="Output 2 10 4 3" xfId="21696"/>
    <cellStyle name="Output 2 10 5" xfId="20533"/>
    <cellStyle name="Output 2 10 5 2" xfId="21127"/>
    <cellStyle name="Output 2 10 5 3" xfId="21697"/>
    <cellStyle name="Output 2 11" xfId="20534"/>
    <cellStyle name="Output 2 11 2" xfId="20535"/>
    <cellStyle name="Output 2 11 2 2" xfId="21125"/>
    <cellStyle name="Output 2 11 2 3" xfId="21699"/>
    <cellStyle name="Output 2 11 3" xfId="20536"/>
    <cellStyle name="Output 2 11 3 2" xfId="21124"/>
    <cellStyle name="Output 2 11 3 3" xfId="21700"/>
    <cellStyle name="Output 2 11 4" xfId="20537"/>
    <cellStyle name="Output 2 11 4 2" xfId="21123"/>
    <cellStyle name="Output 2 11 4 3" xfId="21701"/>
    <cellStyle name="Output 2 11 5" xfId="20538"/>
    <cellStyle name="Output 2 11 5 2" xfId="21122"/>
    <cellStyle name="Output 2 11 5 3" xfId="21702"/>
    <cellStyle name="Output 2 11 6" xfId="21126"/>
    <cellStyle name="Output 2 11 7" xfId="21698"/>
    <cellStyle name="Output 2 12" xfId="20539"/>
    <cellStyle name="Output 2 12 2" xfId="20540"/>
    <cellStyle name="Output 2 12 2 2" xfId="21120"/>
    <cellStyle name="Output 2 12 2 3" xfId="21704"/>
    <cellStyle name="Output 2 12 3" xfId="20541"/>
    <cellStyle name="Output 2 12 3 2" xfId="21119"/>
    <cellStyle name="Output 2 12 3 3" xfId="21705"/>
    <cellStyle name="Output 2 12 4" xfId="20542"/>
    <cellStyle name="Output 2 12 4 2" xfId="21118"/>
    <cellStyle name="Output 2 12 4 3" xfId="21706"/>
    <cellStyle name="Output 2 12 5" xfId="20543"/>
    <cellStyle name="Output 2 12 5 2" xfId="21117"/>
    <cellStyle name="Output 2 12 5 3" xfId="21707"/>
    <cellStyle name="Output 2 12 6" xfId="21121"/>
    <cellStyle name="Output 2 12 7" xfId="21703"/>
    <cellStyle name="Output 2 13" xfId="20544"/>
    <cellStyle name="Output 2 13 2" xfId="20545"/>
    <cellStyle name="Output 2 13 2 2" xfId="21115"/>
    <cellStyle name="Output 2 13 2 3" xfId="21709"/>
    <cellStyle name="Output 2 13 3" xfId="20546"/>
    <cellStyle name="Output 2 13 3 2" xfId="21114"/>
    <cellStyle name="Output 2 13 3 3" xfId="21710"/>
    <cellStyle name="Output 2 13 4" xfId="20547"/>
    <cellStyle name="Output 2 13 4 2" xfId="21113"/>
    <cellStyle name="Output 2 13 4 3" xfId="21711"/>
    <cellStyle name="Output 2 13 5" xfId="21116"/>
    <cellStyle name="Output 2 13 6" xfId="21708"/>
    <cellStyle name="Output 2 14" xfId="20548"/>
    <cellStyle name="Output 2 14 2" xfId="21112"/>
    <cellStyle name="Output 2 14 3" xfId="21712"/>
    <cellStyle name="Output 2 15" xfId="20549"/>
    <cellStyle name="Output 2 15 2" xfId="21111"/>
    <cellStyle name="Output 2 15 3" xfId="21713"/>
    <cellStyle name="Output 2 16" xfId="20550"/>
    <cellStyle name="Output 2 16 2" xfId="21110"/>
    <cellStyle name="Output 2 16 3" xfId="21714"/>
    <cellStyle name="Output 2 17" xfId="21131"/>
    <cellStyle name="Output 2 18" xfId="21693"/>
    <cellStyle name="Output 2 2" xfId="20551"/>
    <cellStyle name="Output 2 2 10" xfId="21109"/>
    <cellStyle name="Output 2 2 11" xfId="21715"/>
    <cellStyle name="Output 2 2 2" xfId="20552"/>
    <cellStyle name="Output 2 2 2 2" xfId="20553"/>
    <cellStyle name="Output 2 2 2 2 2" xfId="21107"/>
    <cellStyle name="Output 2 2 2 2 3" xfId="21717"/>
    <cellStyle name="Output 2 2 2 3" xfId="20554"/>
    <cellStyle name="Output 2 2 2 3 2" xfId="21106"/>
    <cellStyle name="Output 2 2 2 3 3" xfId="21718"/>
    <cellStyle name="Output 2 2 2 4" xfId="20555"/>
    <cellStyle name="Output 2 2 2 4 2" xfId="21105"/>
    <cellStyle name="Output 2 2 2 4 3" xfId="21719"/>
    <cellStyle name="Output 2 2 2 5" xfId="21108"/>
    <cellStyle name="Output 2 2 2 6" xfId="21716"/>
    <cellStyle name="Output 2 2 3" xfId="20556"/>
    <cellStyle name="Output 2 2 3 2" xfId="20557"/>
    <cellStyle name="Output 2 2 3 2 2" xfId="21103"/>
    <cellStyle name="Output 2 2 3 2 3" xfId="21721"/>
    <cellStyle name="Output 2 2 3 3" xfId="20558"/>
    <cellStyle name="Output 2 2 3 3 2" xfId="21102"/>
    <cellStyle name="Output 2 2 3 3 3" xfId="21722"/>
    <cellStyle name="Output 2 2 3 4" xfId="20559"/>
    <cellStyle name="Output 2 2 3 4 2" xfId="21101"/>
    <cellStyle name="Output 2 2 3 4 3" xfId="21723"/>
    <cellStyle name="Output 2 2 3 5" xfId="21104"/>
    <cellStyle name="Output 2 2 3 6" xfId="21720"/>
    <cellStyle name="Output 2 2 4" xfId="20560"/>
    <cellStyle name="Output 2 2 4 2" xfId="20561"/>
    <cellStyle name="Output 2 2 4 2 2" xfId="21099"/>
    <cellStyle name="Output 2 2 4 2 3" xfId="21725"/>
    <cellStyle name="Output 2 2 4 3" xfId="20562"/>
    <cellStyle name="Output 2 2 4 3 2" xfId="21098"/>
    <cellStyle name="Output 2 2 4 3 3" xfId="21726"/>
    <cellStyle name="Output 2 2 4 4" xfId="20563"/>
    <cellStyle name="Output 2 2 4 4 2" xfId="21097"/>
    <cellStyle name="Output 2 2 4 4 3" xfId="21727"/>
    <cellStyle name="Output 2 2 4 5" xfId="21100"/>
    <cellStyle name="Output 2 2 4 6" xfId="21724"/>
    <cellStyle name="Output 2 2 5" xfId="20564"/>
    <cellStyle name="Output 2 2 5 2" xfId="20565"/>
    <cellStyle name="Output 2 2 5 2 2" xfId="21095"/>
    <cellStyle name="Output 2 2 5 2 3" xfId="21729"/>
    <cellStyle name="Output 2 2 5 3" xfId="20566"/>
    <cellStyle name="Output 2 2 5 3 2" xfId="21094"/>
    <cellStyle name="Output 2 2 5 3 3" xfId="21730"/>
    <cellStyle name="Output 2 2 5 4" xfId="20567"/>
    <cellStyle name="Output 2 2 5 4 2" xfId="21093"/>
    <cellStyle name="Output 2 2 5 4 3" xfId="21731"/>
    <cellStyle name="Output 2 2 5 5" xfId="21096"/>
    <cellStyle name="Output 2 2 5 6" xfId="21728"/>
    <cellStyle name="Output 2 2 6" xfId="20568"/>
    <cellStyle name="Output 2 2 6 2" xfId="21092"/>
    <cellStyle name="Output 2 2 6 3" xfId="21732"/>
    <cellStyle name="Output 2 2 7" xfId="20569"/>
    <cellStyle name="Output 2 2 7 2" xfId="21091"/>
    <cellStyle name="Output 2 2 7 3" xfId="21733"/>
    <cellStyle name="Output 2 2 8" xfId="20570"/>
    <cellStyle name="Output 2 2 8 2" xfId="21090"/>
    <cellStyle name="Output 2 2 8 3" xfId="21734"/>
    <cellStyle name="Output 2 2 9" xfId="20571"/>
    <cellStyle name="Output 2 2 9 2" xfId="21089"/>
    <cellStyle name="Output 2 2 9 3" xfId="21735"/>
    <cellStyle name="Output 2 3" xfId="20572"/>
    <cellStyle name="Output 2 3 2" xfId="20573"/>
    <cellStyle name="Output 2 3 2 2" xfId="21088"/>
    <cellStyle name="Output 2 3 2 3" xfId="21736"/>
    <cellStyle name="Output 2 3 3" xfId="20574"/>
    <cellStyle name="Output 2 3 3 2" xfId="21087"/>
    <cellStyle name="Output 2 3 3 3" xfId="21737"/>
    <cellStyle name="Output 2 3 4" xfId="20575"/>
    <cellStyle name="Output 2 3 4 2" xfId="21086"/>
    <cellStyle name="Output 2 3 4 3" xfId="21738"/>
    <cellStyle name="Output 2 3 5" xfId="20576"/>
    <cellStyle name="Output 2 3 5 2" xfId="21085"/>
    <cellStyle name="Output 2 3 5 3" xfId="21739"/>
    <cellStyle name="Output 2 4" xfId="20577"/>
    <cellStyle name="Output 2 4 2" xfId="20578"/>
    <cellStyle name="Output 2 4 2 2" xfId="21084"/>
    <cellStyle name="Output 2 4 2 3" xfId="21740"/>
    <cellStyle name="Output 2 4 3" xfId="20579"/>
    <cellStyle name="Output 2 4 3 2" xfId="21083"/>
    <cellStyle name="Output 2 4 3 3" xfId="21741"/>
    <cellStyle name="Output 2 4 4" xfId="20580"/>
    <cellStyle name="Output 2 4 4 2" xfId="21082"/>
    <cellStyle name="Output 2 4 4 3" xfId="21742"/>
    <cellStyle name="Output 2 4 5" xfId="20581"/>
    <cellStyle name="Output 2 4 5 2" xfId="21081"/>
    <cellStyle name="Output 2 4 5 3" xfId="21743"/>
    <cellStyle name="Output 2 5" xfId="20582"/>
    <cellStyle name="Output 2 5 2" xfId="20583"/>
    <cellStyle name="Output 2 5 2 2" xfId="21080"/>
    <cellStyle name="Output 2 5 2 3" xfId="21744"/>
    <cellStyle name="Output 2 5 3" xfId="20584"/>
    <cellStyle name="Output 2 5 3 2" xfId="21079"/>
    <cellStyle name="Output 2 5 3 3" xfId="21745"/>
    <cellStyle name="Output 2 5 4" xfId="20585"/>
    <cellStyle name="Output 2 5 4 2" xfId="21078"/>
    <cellStyle name="Output 2 5 4 3" xfId="21746"/>
    <cellStyle name="Output 2 5 5" xfId="20586"/>
    <cellStyle name="Output 2 5 5 2" xfId="21077"/>
    <cellStyle name="Output 2 5 5 3" xfId="21747"/>
    <cellStyle name="Output 2 6" xfId="20587"/>
    <cellStyle name="Output 2 6 2" xfId="20588"/>
    <cellStyle name="Output 2 6 2 2" xfId="21076"/>
    <cellStyle name="Output 2 6 2 3" xfId="21748"/>
    <cellStyle name="Output 2 6 3" xfId="20589"/>
    <cellStyle name="Output 2 6 3 2" xfId="21075"/>
    <cellStyle name="Output 2 6 3 3" xfId="21749"/>
    <cellStyle name="Output 2 6 4" xfId="20590"/>
    <cellStyle name="Output 2 6 4 2" xfId="21074"/>
    <cellStyle name="Output 2 6 4 3" xfId="21750"/>
    <cellStyle name="Output 2 6 5" xfId="20591"/>
    <cellStyle name="Output 2 6 5 2" xfId="21073"/>
    <cellStyle name="Output 2 6 5 3" xfId="21751"/>
    <cellStyle name="Output 2 7" xfId="20592"/>
    <cellStyle name="Output 2 7 2" xfId="20593"/>
    <cellStyle name="Output 2 7 2 2" xfId="21072"/>
    <cellStyle name="Output 2 7 2 3" xfId="21752"/>
    <cellStyle name="Output 2 7 3" xfId="20594"/>
    <cellStyle name="Output 2 7 3 2" xfId="21071"/>
    <cellStyle name="Output 2 7 3 3" xfId="21753"/>
    <cellStyle name="Output 2 7 4" xfId="20595"/>
    <cellStyle name="Output 2 7 4 2" xfId="21070"/>
    <cellStyle name="Output 2 7 4 3" xfId="21754"/>
    <cellStyle name="Output 2 7 5" xfId="20596"/>
    <cellStyle name="Output 2 7 5 2" xfId="21069"/>
    <cellStyle name="Output 2 7 5 3" xfId="21755"/>
    <cellStyle name="Output 2 8" xfId="20597"/>
    <cellStyle name="Output 2 8 2" xfId="20598"/>
    <cellStyle name="Output 2 8 2 2" xfId="21068"/>
    <cellStyle name="Output 2 8 2 3" xfId="21756"/>
    <cellStyle name="Output 2 8 3" xfId="20599"/>
    <cellStyle name="Output 2 8 3 2" xfId="21067"/>
    <cellStyle name="Output 2 8 3 3" xfId="21757"/>
    <cellStyle name="Output 2 8 4" xfId="20600"/>
    <cellStyle name="Output 2 8 4 2" xfId="21066"/>
    <cellStyle name="Output 2 8 4 3" xfId="21758"/>
    <cellStyle name="Output 2 8 5" xfId="20601"/>
    <cellStyle name="Output 2 8 5 2" xfId="21065"/>
    <cellStyle name="Output 2 8 5 3" xfId="21759"/>
    <cellStyle name="Output 2 9" xfId="20602"/>
    <cellStyle name="Output 2 9 2" xfId="20603"/>
    <cellStyle name="Output 2 9 2 2" xfId="21064"/>
    <cellStyle name="Output 2 9 2 3" xfId="21760"/>
    <cellStyle name="Output 2 9 3" xfId="20604"/>
    <cellStyle name="Output 2 9 3 2" xfId="21063"/>
    <cellStyle name="Output 2 9 3 3" xfId="21761"/>
    <cellStyle name="Output 2 9 4" xfId="20605"/>
    <cellStyle name="Output 2 9 4 2" xfId="21062"/>
    <cellStyle name="Output 2 9 4 3" xfId="21762"/>
    <cellStyle name="Output 2 9 5" xfId="20606"/>
    <cellStyle name="Output 2 9 5 2" xfId="21061"/>
    <cellStyle name="Output 2 9 5 3" xfId="21763"/>
    <cellStyle name="Output 3" xfId="20607"/>
    <cellStyle name="Output 3 2" xfId="20608"/>
    <cellStyle name="Output 3 2 2" xfId="21059"/>
    <cellStyle name="Output 3 2 3" xfId="21765"/>
    <cellStyle name="Output 3 3" xfId="20609"/>
    <cellStyle name="Output 3 3 2" xfId="21058"/>
    <cellStyle name="Output 3 3 3" xfId="21766"/>
    <cellStyle name="Output 3 4" xfId="21060"/>
    <cellStyle name="Output 3 5" xfId="21764"/>
    <cellStyle name="Output 4" xfId="20610"/>
    <cellStyle name="Output 4 2" xfId="20611"/>
    <cellStyle name="Output 4 2 2" xfId="21056"/>
    <cellStyle name="Output 4 2 3" xfId="21768"/>
    <cellStyle name="Output 4 3" xfId="20612"/>
    <cellStyle name="Output 4 3 2" xfId="21055"/>
    <cellStyle name="Output 4 3 3" xfId="21769"/>
    <cellStyle name="Output 4 4" xfId="21057"/>
    <cellStyle name="Output 4 5" xfId="21767"/>
    <cellStyle name="Output 5" xfId="20613"/>
    <cellStyle name="Output 5 2" xfId="20614"/>
    <cellStyle name="Output 5 2 2" xfId="21053"/>
    <cellStyle name="Output 5 2 3" xfId="21771"/>
    <cellStyle name="Output 5 3" xfId="20615"/>
    <cellStyle name="Output 5 3 2" xfId="21052"/>
    <cellStyle name="Output 5 3 3" xfId="21772"/>
    <cellStyle name="Output 5 4" xfId="21054"/>
    <cellStyle name="Output 5 5" xfId="21770"/>
    <cellStyle name="Output 6" xfId="20616"/>
    <cellStyle name="Output 6 2" xfId="20617"/>
    <cellStyle name="Output 6 2 2" xfId="21050"/>
    <cellStyle name="Output 6 2 3" xfId="21774"/>
    <cellStyle name="Output 6 3" xfId="20618"/>
    <cellStyle name="Output 6 3 2" xfId="21049"/>
    <cellStyle name="Output 6 3 3" xfId="21775"/>
    <cellStyle name="Output 6 4" xfId="21051"/>
    <cellStyle name="Output 6 5" xfId="21773"/>
    <cellStyle name="Output 7" xfId="20619"/>
    <cellStyle name="Output 7 2" xfId="21048"/>
    <cellStyle name="Output 7 3" xfId="21776"/>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3" xfId="21777"/>
    <cellStyle name="showParameterE" xfId="20787"/>
    <cellStyle name="showParameterE 2" xfId="21046"/>
    <cellStyle name="showParameterE 3" xfId="21778"/>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1780"/>
    <cellStyle name="Total 2 10 3" xfId="20826"/>
    <cellStyle name="Total 2 10 3 2" xfId="21043"/>
    <cellStyle name="Total 2 10 3 3" xfId="21781"/>
    <cellStyle name="Total 2 10 4" xfId="20827"/>
    <cellStyle name="Total 2 10 4 2" xfId="21042"/>
    <cellStyle name="Total 2 10 4 3" xfId="21782"/>
    <cellStyle name="Total 2 10 5" xfId="20828"/>
    <cellStyle name="Total 2 10 5 2" xfId="21041"/>
    <cellStyle name="Total 2 10 5 3" xfId="21783"/>
    <cellStyle name="Total 2 11" xfId="20829"/>
    <cellStyle name="Total 2 11 2" xfId="20830"/>
    <cellStyle name="Total 2 11 2 2" xfId="21039"/>
    <cellStyle name="Total 2 11 2 3" xfId="21785"/>
    <cellStyle name="Total 2 11 3" xfId="20831"/>
    <cellStyle name="Total 2 11 3 2" xfId="21038"/>
    <cellStyle name="Total 2 11 3 3" xfId="21786"/>
    <cellStyle name="Total 2 11 4" xfId="20832"/>
    <cellStyle name="Total 2 11 4 2" xfId="21037"/>
    <cellStyle name="Total 2 11 4 3" xfId="21787"/>
    <cellStyle name="Total 2 11 5" xfId="20833"/>
    <cellStyle name="Total 2 11 5 2" xfId="21036"/>
    <cellStyle name="Total 2 11 5 3" xfId="21788"/>
    <cellStyle name="Total 2 11 6" xfId="21040"/>
    <cellStyle name="Total 2 11 7" xfId="21784"/>
    <cellStyle name="Total 2 12" xfId="20834"/>
    <cellStyle name="Total 2 12 2" xfId="20835"/>
    <cellStyle name="Total 2 12 2 2" xfId="21034"/>
    <cellStyle name="Total 2 12 2 3" xfId="21790"/>
    <cellStyle name="Total 2 12 3" xfId="20836"/>
    <cellStyle name="Total 2 12 3 2" xfId="21033"/>
    <cellStyle name="Total 2 12 3 3" xfId="21791"/>
    <cellStyle name="Total 2 12 4" xfId="20837"/>
    <cellStyle name="Total 2 12 4 2" xfId="21032"/>
    <cellStyle name="Total 2 12 4 3" xfId="21792"/>
    <cellStyle name="Total 2 12 5" xfId="20838"/>
    <cellStyle name="Total 2 12 5 2" xfId="21031"/>
    <cellStyle name="Total 2 12 5 3" xfId="21793"/>
    <cellStyle name="Total 2 12 6" xfId="21035"/>
    <cellStyle name="Total 2 12 7" xfId="21789"/>
    <cellStyle name="Total 2 13" xfId="20839"/>
    <cellStyle name="Total 2 13 2" xfId="20840"/>
    <cellStyle name="Total 2 13 2 2" xfId="21029"/>
    <cellStyle name="Total 2 13 2 3" xfId="21795"/>
    <cellStyle name="Total 2 13 3" xfId="20841"/>
    <cellStyle name="Total 2 13 3 2" xfId="21028"/>
    <cellStyle name="Total 2 13 3 3" xfId="21796"/>
    <cellStyle name="Total 2 13 4" xfId="20842"/>
    <cellStyle name="Total 2 13 4 2" xfId="21027"/>
    <cellStyle name="Total 2 13 4 3" xfId="21797"/>
    <cellStyle name="Total 2 13 5" xfId="21030"/>
    <cellStyle name="Total 2 13 6" xfId="21794"/>
    <cellStyle name="Total 2 14" xfId="20843"/>
    <cellStyle name="Total 2 14 2" xfId="21026"/>
    <cellStyle name="Total 2 14 3" xfId="21798"/>
    <cellStyle name="Total 2 15" xfId="20844"/>
    <cellStyle name="Total 2 15 2" xfId="21025"/>
    <cellStyle name="Total 2 15 3" xfId="21799"/>
    <cellStyle name="Total 2 16" xfId="20845"/>
    <cellStyle name="Total 2 16 2" xfId="21024"/>
    <cellStyle name="Total 2 16 3" xfId="21800"/>
    <cellStyle name="Total 2 17" xfId="21045"/>
    <cellStyle name="Total 2 18" xfId="21779"/>
    <cellStyle name="Total 2 2" xfId="20846"/>
    <cellStyle name="Total 2 2 10" xfId="21023"/>
    <cellStyle name="Total 2 2 11" xfId="21801"/>
    <cellStyle name="Total 2 2 2" xfId="20847"/>
    <cellStyle name="Total 2 2 2 2" xfId="20848"/>
    <cellStyle name="Total 2 2 2 2 2" xfId="21021"/>
    <cellStyle name="Total 2 2 2 2 3" xfId="21803"/>
    <cellStyle name="Total 2 2 2 3" xfId="20849"/>
    <cellStyle name="Total 2 2 2 3 2" xfId="21020"/>
    <cellStyle name="Total 2 2 2 3 3" xfId="21804"/>
    <cellStyle name="Total 2 2 2 4" xfId="20850"/>
    <cellStyle name="Total 2 2 2 4 2" xfId="21019"/>
    <cellStyle name="Total 2 2 2 4 3" xfId="21805"/>
    <cellStyle name="Total 2 2 2 5" xfId="21022"/>
    <cellStyle name="Total 2 2 2 6" xfId="21802"/>
    <cellStyle name="Total 2 2 3" xfId="20851"/>
    <cellStyle name="Total 2 2 3 2" xfId="20852"/>
    <cellStyle name="Total 2 2 3 2 2" xfId="21017"/>
    <cellStyle name="Total 2 2 3 2 3" xfId="21807"/>
    <cellStyle name="Total 2 2 3 3" xfId="20853"/>
    <cellStyle name="Total 2 2 3 3 2" xfId="21016"/>
    <cellStyle name="Total 2 2 3 3 3" xfId="21808"/>
    <cellStyle name="Total 2 2 3 4" xfId="20854"/>
    <cellStyle name="Total 2 2 3 4 2" xfId="21015"/>
    <cellStyle name="Total 2 2 3 4 3" xfId="21809"/>
    <cellStyle name="Total 2 2 3 5" xfId="21018"/>
    <cellStyle name="Total 2 2 3 6" xfId="21806"/>
    <cellStyle name="Total 2 2 4" xfId="20855"/>
    <cellStyle name="Total 2 2 4 2" xfId="20856"/>
    <cellStyle name="Total 2 2 4 2 2" xfId="21013"/>
    <cellStyle name="Total 2 2 4 2 3" xfId="21811"/>
    <cellStyle name="Total 2 2 4 3" xfId="20857"/>
    <cellStyle name="Total 2 2 4 3 2" xfId="21012"/>
    <cellStyle name="Total 2 2 4 3 3" xfId="21812"/>
    <cellStyle name="Total 2 2 4 4" xfId="20858"/>
    <cellStyle name="Total 2 2 4 4 2" xfId="21011"/>
    <cellStyle name="Total 2 2 4 4 3" xfId="21813"/>
    <cellStyle name="Total 2 2 4 5" xfId="21014"/>
    <cellStyle name="Total 2 2 4 6" xfId="21810"/>
    <cellStyle name="Total 2 2 5" xfId="20859"/>
    <cellStyle name="Total 2 2 5 2" xfId="20860"/>
    <cellStyle name="Total 2 2 5 2 2" xfId="21009"/>
    <cellStyle name="Total 2 2 5 2 3" xfId="21815"/>
    <cellStyle name="Total 2 2 5 3" xfId="20861"/>
    <cellStyle name="Total 2 2 5 3 2" xfId="21008"/>
    <cellStyle name="Total 2 2 5 3 3" xfId="21816"/>
    <cellStyle name="Total 2 2 5 4" xfId="20862"/>
    <cellStyle name="Total 2 2 5 4 2" xfId="21007"/>
    <cellStyle name="Total 2 2 5 4 3" xfId="21817"/>
    <cellStyle name="Total 2 2 5 5" xfId="21010"/>
    <cellStyle name="Total 2 2 5 6" xfId="21814"/>
    <cellStyle name="Total 2 2 6" xfId="20863"/>
    <cellStyle name="Total 2 2 6 2" xfId="21006"/>
    <cellStyle name="Total 2 2 6 3" xfId="21818"/>
    <cellStyle name="Total 2 2 7" xfId="20864"/>
    <cellStyle name="Total 2 2 7 2" xfId="21005"/>
    <cellStyle name="Total 2 2 7 3" xfId="21819"/>
    <cellStyle name="Total 2 2 8" xfId="20865"/>
    <cellStyle name="Total 2 2 8 2" xfId="21004"/>
    <cellStyle name="Total 2 2 8 3" xfId="21820"/>
    <cellStyle name="Total 2 2 9" xfId="20866"/>
    <cellStyle name="Total 2 2 9 2" xfId="21003"/>
    <cellStyle name="Total 2 2 9 3" xfId="21821"/>
    <cellStyle name="Total 2 3" xfId="20867"/>
    <cellStyle name="Total 2 3 2" xfId="20868"/>
    <cellStyle name="Total 2 3 2 2" xfId="21002"/>
    <cellStyle name="Total 2 3 2 3" xfId="21822"/>
    <cellStyle name="Total 2 3 3" xfId="20869"/>
    <cellStyle name="Total 2 3 3 2" xfId="21001"/>
    <cellStyle name="Total 2 3 3 3" xfId="21823"/>
    <cellStyle name="Total 2 3 4" xfId="20870"/>
    <cellStyle name="Total 2 3 4 2" xfId="21000"/>
    <cellStyle name="Total 2 3 4 3" xfId="21824"/>
    <cellStyle name="Total 2 3 5" xfId="20871"/>
    <cellStyle name="Total 2 3 5 2" xfId="20999"/>
    <cellStyle name="Total 2 3 5 3" xfId="21825"/>
    <cellStyle name="Total 2 4" xfId="20872"/>
    <cellStyle name="Total 2 4 2" xfId="20873"/>
    <cellStyle name="Total 2 4 2 2" xfId="20998"/>
    <cellStyle name="Total 2 4 2 3" xfId="21826"/>
    <cellStyle name="Total 2 4 3" xfId="20874"/>
    <cellStyle name="Total 2 4 3 2" xfId="20997"/>
    <cellStyle name="Total 2 4 3 3" xfId="21827"/>
    <cellStyle name="Total 2 4 4" xfId="20875"/>
    <cellStyle name="Total 2 4 4 2" xfId="20996"/>
    <cellStyle name="Total 2 4 4 3" xfId="21828"/>
    <cellStyle name="Total 2 4 5" xfId="20876"/>
    <cellStyle name="Total 2 4 5 2" xfId="20995"/>
    <cellStyle name="Total 2 4 5 3" xfId="21829"/>
    <cellStyle name="Total 2 5" xfId="20877"/>
    <cellStyle name="Total 2 5 2" xfId="20878"/>
    <cellStyle name="Total 2 5 2 2" xfId="20994"/>
    <cellStyle name="Total 2 5 2 3" xfId="21830"/>
    <cellStyle name="Total 2 5 3" xfId="20879"/>
    <cellStyle name="Total 2 5 3 2" xfId="20993"/>
    <cellStyle name="Total 2 5 3 3" xfId="21831"/>
    <cellStyle name="Total 2 5 4" xfId="20880"/>
    <cellStyle name="Total 2 5 4 2" xfId="20992"/>
    <cellStyle name="Total 2 5 4 3" xfId="21832"/>
    <cellStyle name="Total 2 5 5" xfId="20881"/>
    <cellStyle name="Total 2 5 5 2" xfId="20991"/>
    <cellStyle name="Total 2 5 5 3" xfId="21833"/>
    <cellStyle name="Total 2 6" xfId="20882"/>
    <cellStyle name="Total 2 6 2" xfId="20883"/>
    <cellStyle name="Total 2 6 2 2" xfId="20990"/>
    <cellStyle name="Total 2 6 2 3" xfId="21834"/>
    <cellStyle name="Total 2 6 3" xfId="20884"/>
    <cellStyle name="Total 2 6 3 2" xfId="20989"/>
    <cellStyle name="Total 2 6 3 3" xfId="21835"/>
    <cellStyle name="Total 2 6 4" xfId="20885"/>
    <cellStyle name="Total 2 6 4 2" xfId="20988"/>
    <cellStyle name="Total 2 6 4 3" xfId="21836"/>
    <cellStyle name="Total 2 6 5" xfId="20886"/>
    <cellStyle name="Total 2 6 5 2" xfId="20987"/>
    <cellStyle name="Total 2 6 5 3" xfId="21837"/>
    <cellStyle name="Total 2 7" xfId="20887"/>
    <cellStyle name="Total 2 7 2" xfId="20888"/>
    <cellStyle name="Total 2 7 2 2" xfId="20986"/>
    <cellStyle name="Total 2 7 2 3" xfId="21838"/>
    <cellStyle name="Total 2 7 3" xfId="20889"/>
    <cellStyle name="Total 2 7 3 2" xfId="20985"/>
    <cellStyle name="Total 2 7 3 3" xfId="21839"/>
    <cellStyle name="Total 2 7 4" xfId="20890"/>
    <cellStyle name="Total 2 7 4 2" xfId="20984"/>
    <cellStyle name="Total 2 7 4 3" xfId="21840"/>
    <cellStyle name="Total 2 7 5" xfId="20891"/>
    <cellStyle name="Total 2 7 5 2" xfId="20983"/>
    <cellStyle name="Total 2 7 5 3" xfId="21841"/>
    <cellStyle name="Total 2 8" xfId="20892"/>
    <cellStyle name="Total 2 8 2" xfId="20893"/>
    <cellStyle name="Total 2 8 2 2" xfId="20982"/>
    <cellStyle name="Total 2 8 2 3" xfId="21842"/>
    <cellStyle name="Total 2 8 3" xfId="20894"/>
    <cellStyle name="Total 2 8 3 2" xfId="20981"/>
    <cellStyle name="Total 2 8 3 3" xfId="21843"/>
    <cellStyle name="Total 2 8 4" xfId="20895"/>
    <cellStyle name="Total 2 8 4 2" xfId="20980"/>
    <cellStyle name="Total 2 8 4 3" xfId="21844"/>
    <cellStyle name="Total 2 8 5" xfId="20896"/>
    <cellStyle name="Total 2 8 5 2" xfId="20979"/>
    <cellStyle name="Total 2 8 5 3" xfId="21845"/>
    <cellStyle name="Total 2 9" xfId="20897"/>
    <cellStyle name="Total 2 9 2" xfId="20898"/>
    <cellStyle name="Total 2 9 2 2" xfId="20978"/>
    <cellStyle name="Total 2 9 2 3" xfId="21846"/>
    <cellStyle name="Total 2 9 3" xfId="20899"/>
    <cellStyle name="Total 2 9 3 2" xfId="20977"/>
    <cellStyle name="Total 2 9 3 3" xfId="21847"/>
    <cellStyle name="Total 2 9 4" xfId="20900"/>
    <cellStyle name="Total 2 9 4 2" xfId="20976"/>
    <cellStyle name="Total 2 9 4 3" xfId="21848"/>
    <cellStyle name="Total 2 9 5" xfId="20901"/>
    <cellStyle name="Total 2 9 5 2" xfId="20975"/>
    <cellStyle name="Total 2 9 5 3" xfId="21849"/>
    <cellStyle name="Total 3" xfId="20902"/>
    <cellStyle name="Total 3 2" xfId="20903"/>
    <cellStyle name="Total 3 2 2" xfId="20973"/>
    <cellStyle name="Total 3 2 3" xfId="21851"/>
    <cellStyle name="Total 3 3" xfId="20904"/>
    <cellStyle name="Total 3 3 2" xfId="20972"/>
    <cellStyle name="Total 3 3 3" xfId="21852"/>
    <cellStyle name="Total 3 4" xfId="20974"/>
    <cellStyle name="Total 3 5" xfId="21850"/>
    <cellStyle name="Total 4" xfId="20905"/>
    <cellStyle name="Total 4 2" xfId="20906"/>
    <cellStyle name="Total 4 2 2" xfId="20970"/>
    <cellStyle name="Total 4 2 3" xfId="21854"/>
    <cellStyle name="Total 4 3" xfId="20907"/>
    <cellStyle name="Total 4 3 2" xfId="20969"/>
    <cellStyle name="Total 4 3 3" xfId="21855"/>
    <cellStyle name="Total 4 4" xfId="20971"/>
    <cellStyle name="Total 4 5" xfId="21853"/>
    <cellStyle name="Total 5" xfId="20908"/>
    <cellStyle name="Total 5 2" xfId="20909"/>
    <cellStyle name="Total 5 2 2" xfId="20967"/>
    <cellStyle name="Total 5 2 3" xfId="21857"/>
    <cellStyle name="Total 5 3" xfId="20910"/>
    <cellStyle name="Total 5 3 2" xfId="20966"/>
    <cellStyle name="Total 5 3 3" xfId="21858"/>
    <cellStyle name="Total 5 4" xfId="20968"/>
    <cellStyle name="Total 5 5" xfId="21856"/>
    <cellStyle name="Total 6" xfId="20911"/>
    <cellStyle name="Total 6 2" xfId="20912"/>
    <cellStyle name="Total 6 2 2" xfId="20964"/>
    <cellStyle name="Total 6 2 3" xfId="21860"/>
    <cellStyle name="Total 6 3" xfId="20913"/>
    <cellStyle name="Total 6 3 2" xfId="20963"/>
    <cellStyle name="Total 6 3 3" xfId="21861"/>
    <cellStyle name="Total 6 4" xfId="20965"/>
    <cellStyle name="Total 6 5" xfId="21859"/>
    <cellStyle name="Total 7" xfId="20914"/>
    <cellStyle name="Total 7 2" xfId="20962"/>
    <cellStyle name="Total 7 3" xfId="218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porting%20Department/Share/External%20Reporting/NBG/FSF/2023/FSF-BVT-MM-2023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Info"/>
      <sheetName val="00"/>
      <sheetName val="FSF-SOFP"/>
      <sheetName val="FSF-SOPL"/>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ROL"/>
      <sheetName val="A-D"/>
      <sheetName val="A-CP"/>
      <sheetName val="A-L"/>
      <sheetName val="A-G"/>
      <sheetName val="A-LD"/>
      <sheetName val="LCR"/>
      <sheetName val="FXD"/>
      <sheetName val="FX"/>
      <sheetName val="A"/>
      <sheetName val="A-CI"/>
      <sheetName val="A-LS"/>
      <sheetName val="SD"/>
      <sheetName val="Capital"/>
      <sheetName val="Capital Requirements"/>
      <sheetName val="Risk Weighted Risk Exposures"/>
      <sheetName val="CR-RWA"/>
      <sheetName val="CICR Buffer"/>
      <sheetName val="HHI Buffer"/>
      <sheetName val="CRA Buffer"/>
      <sheetName val="CRM"/>
      <sheetName val="LR"/>
    </sheetNames>
    <sheetDataSet>
      <sheetData sheetId="0"/>
      <sheetData sheetId="1"/>
      <sheetData sheetId="2"/>
      <sheetData sheetId="3">
        <row r="25">
          <cell r="U25">
            <v>-6142479.6057372978</v>
          </cell>
          <cell r="V25">
            <v>-7742894.9829946645</v>
          </cell>
        </row>
        <row r="41">
          <cell r="U41">
            <v>-56881.63</v>
          </cell>
          <cell r="V41">
            <v>-37648.082362706598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35"/>
  <sheetViews>
    <sheetView tabSelected="1" zoomScale="85" zoomScaleNormal="85" workbookViewId="0">
      <pane xSplit="1" ySplit="7" topLeftCell="B8" activePane="bottomRight" state="frozen"/>
      <selection pane="topRight" activeCell="B1" sqref="B1"/>
      <selection pane="bottomLeft" activeCell="A8" sqref="A8"/>
      <selection pane="bottomRight" activeCell="D3" sqref="D3"/>
    </sheetView>
  </sheetViews>
  <sheetFormatPr defaultRowHeight="15"/>
  <cols>
    <col min="1" max="1" width="10.28515625" style="2" customWidth="1"/>
    <col min="2" max="2" width="153" bestFit="1" customWidth="1"/>
    <col min="3" max="3" width="39.42578125" customWidth="1"/>
    <col min="4" max="4" width="11.7109375" bestFit="1" customWidth="1"/>
    <col min="7" max="7" width="25" customWidth="1"/>
  </cols>
  <sheetData>
    <row r="1" spans="1:4" ht="15.75">
      <c r="A1" s="9"/>
      <c r="B1" s="130" t="s">
        <v>159</v>
      </c>
      <c r="C1" s="54"/>
    </row>
    <row r="2" spans="1:4" s="127" customFormat="1" ht="15.75">
      <c r="A2" s="170">
        <v>1</v>
      </c>
      <c r="B2" s="128" t="s">
        <v>160</v>
      </c>
      <c r="C2" s="702" t="s">
        <v>960</v>
      </c>
      <c r="D2" s="704">
        <v>45291</v>
      </c>
    </row>
    <row r="3" spans="1:4" s="127" customFormat="1" ht="15.75">
      <c r="A3" s="170">
        <v>2</v>
      </c>
      <c r="B3" s="129" t="s">
        <v>161</v>
      </c>
      <c r="C3" s="702" t="s">
        <v>961</v>
      </c>
      <c r="D3" s="697"/>
    </row>
    <row r="4" spans="1:4" s="127" customFormat="1" ht="15.75">
      <c r="A4" s="170">
        <v>3</v>
      </c>
      <c r="B4" s="129" t="s">
        <v>162</v>
      </c>
      <c r="C4" s="702" t="s">
        <v>962</v>
      </c>
      <c r="D4" s="697"/>
    </row>
    <row r="5" spans="1:4" s="127" customFormat="1" ht="15.75">
      <c r="A5" s="171">
        <v>4</v>
      </c>
      <c r="B5" s="132" t="s">
        <v>163</v>
      </c>
      <c r="C5" s="702" t="s">
        <v>963</v>
      </c>
      <c r="D5" s="697"/>
    </row>
    <row r="6" spans="1:4" s="131" customFormat="1" ht="65.25" customHeight="1">
      <c r="A6" s="777" t="s">
        <v>321</v>
      </c>
      <c r="B6" s="778"/>
      <c r="C6" s="778"/>
    </row>
    <row r="7" spans="1:4">
      <c r="A7" s="276" t="s">
        <v>251</v>
      </c>
      <c r="B7" s="277" t="s">
        <v>164</v>
      </c>
    </row>
    <row r="8" spans="1:4">
      <c r="A8" s="278">
        <v>1</v>
      </c>
      <c r="B8" s="274" t="s">
        <v>139</v>
      </c>
    </row>
    <row r="9" spans="1:4">
      <c r="A9" s="278">
        <v>2</v>
      </c>
      <c r="B9" s="274" t="s">
        <v>165</v>
      </c>
    </row>
    <row r="10" spans="1:4">
      <c r="A10" s="278">
        <v>3</v>
      </c>
      <c r="B10" s="274" t="s">
        <v>166</v>
      </c>
    </row>
    <row r="11" spans="1:4">
      <c r="A11" s="278">
        <v>4</v>
      </c>
      <c r="B11" s="274" t="s">
        <v>167</v>
      </c>
      <c r="C11" s="126"/>
    </row>
    <row r="12" spans="1:4">
      <c r="A12" s="278">
        <v>5</v>
      </c>
      <c r="B12" s="274" t="s">
        <v>107</v>
      </c>
    </row>
    <row r="13" spans="1:4">
      <c r="A13" s="278">
        <v>6</v>
      </c>
      <c r="B13" s="279" t="s">
        <v>91</v>
      </c>
    </row>
    <row r="14" spans="1:4">
      <c r="A14" s="278">
        <v>7</v>
      </c>
      <c r="B14" s="274" t="s">
        <v>168</v>
      </c>
    </row>
    <row r="15" spans="1:4">
      <c r="A15" s="278">
        <v>8</v>
      </c>
      <c r="B15" s="274" t="s">
        <v>171</v>
      </c>
    </row>
    <row r="16" spans="1:4">
      <c r="A16" s="278">
        <v>9</v>
      </c>
      <c r="B16" s="274" t="s">
        <v>85</v>
      </c>
    </row>
    <row r="17" spans="1:2">
      <c r="A17" s="280" t="s">
        <v>378</v>
      </c>
      <c r="B17" s="274" t="s">
        <v>358</v>
      </c>
    </row>
    <row r="18" spans="1:2">
      <c r="A18" s="278">
        <v>10</v>
      </c>
      <c r="B18" s="274" t="s">
        <v>172</v>
      </c>
    </row>
    <row r="19" spans="1:2">
      <c r="A19" s="278">
        <v>11</v>
      </c>
      <c r="B19" s="279" t="s">
        <v>155</v>
      </c>
    </row>
    <row r="20" spans="1:2">
      <c r="A20" s="278">
        <v>12</v>
      </c>
      <c r="B20" s="279" t="s">
        <v>152</v>
      </c>
    </row>
    <row r="21" spans="1:2">
      <c r="A21" s="278">
        <v>13</v>
      </c>
      <c r="B21" s="281" t="s">
        <v>297</v>
      </c>
    </row>
    <row r="22" spans="1:2">
      <c r="A22" s="278">
        <v>14</v>
      </c>
      <c r="B22" s="274" t="s">
        <v>351</v>
      </c>
    </row>
    <row r="23" spans="1:2">
      <c r="A23" s="282">
        <v>15</v>
      </c>
      <c r="B23" s="274" t="s">
        <v>74</v>
      </c>
    </row>
    <row r="24" spans="1:2">
      <c r="A24" s="282">
        <v>15.1</v>
      </c>
      <c r="B24" s="274" t="s">
        <v>387</v>
      </c>
    </row>
    <row r="25" spans="1:2">
      <c r="A25" s="282">
        <v>16</v>
      </c>
      <c r="B25" s="274" t="s">
        <v>453</v>
      </c>
    </row>
    <row r="26" spans="1:2">
      <c r="A26" s="282">
        <v>17</v>
      </c>
      <c r="B26" s="274" t="s">
        <v>677</v>
      </c>
    </row>
    <row r="27" spans="1:2">
      <c r="A27" s="282">
        <v>18</v>
      </c>
      <c r="B27" s="274" t="s">
        <v>939</v>
      </c>
    </row>
    <row r="28" spans="1:2">
      <c r="A28" s="282">
        <v>19</v>
      </c>
      <c r="B28" s="274" t="s">
        <v>940</v>
      </c>
    </row>
    <row r="29" spans="1:2">
      <c r="A29" s="282">
        <v>20</v>
      </c>
      <c r="B29" s="274" t="s">
        <v>941</v>
      </c>
    </row>
    <row r="30" spans="1:2">
      <c r="A30" s="282">
        <v>21</v>
      </c>
      <c r="B30" s="274" t="s">
        <v>546</v>
      </c>
    </row>
    <row r="31" spans="1:2">
      <c r="A31" s="282">
        <v>22</v>
      </c>
      <c r="B31" s="274" t="s">
        <v>942</v>
      </c>
    </row>
    <row r="32" spans="1:2" ht="25.5">
      <c r="A32" s="282">
        <v>23</v>
      </c>
      <c r="B32" s="636" t="s">
        <v>938</v>
      </c>
    </row>
    <row r="33" spans="1:2">
      <c r="A33" s="282">
        <v>24</v>
      </c>
      <c r="B33" s="274" t="s">
        <v>943</v>
      </c>
    </row>
    <row r="34" spans="1:2">
      <c r="A34" s="282">
        <v>25</v>
      </c>
      <c r="B34" s="274" t="s">
        <v>944</v>
      </c>
    </row>
    <row r="35" spans="1:2">
      <c r="A35" s="278">
        <v>26</v>
      </c>
      <c r="B35" s="274"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9"/>
  <sheetViews>
    <sheetView zoomScale="85" zoomScaleNormal="85" workbookViewId="0">
      <pane xSplit="1" ySplit="5" topLeftCell="B6" activePane="bottomRight" state="frozen"/>
      <selection activeCell="B2" sqref="B2"/>
      <selection pane="topRight" activeCell="B2" sqref="B2"/>
      <selection pane="bottomLeft" activeCell="B2" sqref="B2"/>
      <selection pane="bottomRight" activeCell="C6" sqref="C6"/>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16" t="str">
        <f>Info!C2</f>
        <v>JSC "VTB Bank (Georgia)"</v>
      </c>
      <c r="D1" s="2"/>
      <c r="E1" s="2"/>
      <c r="F1" s="2"/>
    </row>
    <row r="2" spans="1:6" s="21" customFormat="1" ht="15.75" customHeight="1">
      <c r="A2" s="21" t="s">
        <v>109</v>
      </c>
      <c r="B2" s="347">
        <f>Info!D2</f>
        <v>45291</v>
      </c>
    </row>
    <row r="3" spans="1:6" s="21" customFormat="1" ht="15.75" customHeight="1"/>
    <row r="4" spans="1:6" ht="15.75" thickBot="1">
      <c r="A4" s="5" t="s">
        <v>257</v>
      </c>
      <c r="B4" s="30" t="s">
        <v>85</v>
      </c>
    </row>
    <row r="5" spans="1:6">
      <c r="A5" s="87" t="s">
        <v>25</v>
      </c>
      <c r="B5" s="88"/>
      <c r="C5" s="89" t="s">
        <v>26</v>
      </c>
    </row>
    <row r="6" spans="1:6">
      <c r="A6" s="90">
        <v>1</v>
      </c>
      <c r="B6" s="50" t="s">
        <v>27</v>
      </c>
      <c r="C6" s="180">
        <f>SUM(C7:C11)</f>
        <v>274145744.72290266</v>
      </c>
    </row>
    <row r="7" spans="1:6">
      <c r="A7" s="90">
        <v>2</v>
      </c>
      <c r="B7" s="47" t="s">
        <v>28</v>
      </c>
      <c r="C7" s="181">
        <v>209008277</v>
      </c>
    </row>
    <row r="8" spans="1:6">
      <c r="A8" s="90">
        <v>3</v>
      </c>
      <c r="B8" s="41" t="s">
        <v>29</v>
      </c>
      <c r="C8" s="181"/>
    </row>
    <row r="9" spans="1:6">
      <c r="A9" s="90">
        <v>4</v>
      </c>
      <c r="B9" s="41" t="s">
        <v>30</v>
      </c>
      <c r="C9" s="181">
        <v>11740025.619999999</v>
      </c>
    </row>
    <row r="10" spans="1:6">
      <c r="A10" s="90">
        <v>5</v>
      </c>
      <c r="B10" s="41" t="s">
        <v>31</v>
      </c>
      <c r="C10" s="181"/>
    </row>
    <row r="11" spans="1:6">
      <c r="A11" s="90">
        <v>6</v>
      </c>
      <c r="B11" s="48" t="s">
        <v>32</v>
      </c>
      <c r="C11" s="181">
        <v>53397442.102902658</v>
      </c>
    </row>
    <row r="12" spans="1:6" s="4" customFormat="1">
      <c r="A12" s="90">
        <v>7</v>
      </c>
      <c r="B12" s="50" t="s">
        <v>33</v>
      </c>
      <c r="C12" s="182">
        <f>SUM(C13:C28)</f>
        <v>12795337.619999999</v>
      </c>
    </row>
    <row r="13" spans="1:6" s="4" customFormat="1">
      <c r="A13" s="90">
        <v>8</v>
      </c>
      <c r="B13" s="49" t="s">
        <v>34</v>
      </c>
      <c r="C13" s="183">
        <v>11740025.619999999</v>
      </c>
    </row>
    <row r="14" spans="1:6" s="4" customFormat="1" ht="25.5">
      <c r="A14" s="90">
        <v>9</v>
      </c>
      <c r="B14" s="42" t="s">
        <v>35</v>
      </c>
      <c r="C14" s="183"/>
    </row>
    <row r="15" spans="1:6" s="4" customFormat="1">
      <c r="A15" s="90">
        <v>10</v>
      </c>
      <c r="B15" s="43" t="s">
        <v>36</v>
      </c>
      <c r="C15" s="183">
        <v>1055312</v>
      </c>
    </row>
    <row r="16" spans="1:6" s="4" customFormat="1">
      <c r="A16" s="90">
        <v>11</v>
      </c>
      <c r="B16" s="44" t="s">
        <v>37</v>
      </c>
      <c r="C16" s="183"/>
    </row>
    <row r="17" spans="1:5" s="4" customFormat="1">
      <c r="A17" s="90">
        <v>12</v>
      </c>
      <c r="B17" s="43" t="s">
        <v>38</v>
      </c>
      <c r="C17" s="183"/>
    </row>
    <row r="18" spans="1:5" s="4" customFormat="1">
      <c r="A18" s="90">
        <v>13</v>
      </c>
      <c r="B18" s="43" t="s">
        <v>39</v>
      </c>
      <c r="C18" s="183"/>
    </row>
    <row r="19" spans="1:5" s="4" customFormat="1">
      <c r="A19" s="90">
        <v>14</v>
      </c>
      <c r="B19" s="43" t="s">
        <v>40</v>
      </c>
      <c r="C19" s="183"/>
    </row>
    <row r="20" spans="1:5" s="4" customFormat="1" ht="25.5">
      <c r="A20" s="90">
        <v>15</v>
      </c>
      <c r="B20" s="43" t="s">
        <v>41</v>
      </c>
      <c r="C20" s="183"/>
    </row>
    <row r="21" spans="1:5" s="4" customFormat="1" ht="25.5">
      <c r="A21" s="90">
        <v>16</v>
      </c>
      <c r="B21" s="42" t="s">
        <v>42</v>
      </c>
      <c r="C21" s="183"/>
    </row>
    <row r="22" spans="1:5" s="4" customFormat="1">
      <c r="A22" s="90">
        <v>17</v>
      </c>
      <c r="B22" s="91" t="s">
        <v>43</v>
      </c>
      <c r="C22" s="183"/>
    </row>
    <row r="23" spans="1:5" s="4" customFormat="1">
      <c r="A23" s="90">
        <v>18</v>
      </c>
      <c r="B23" s="637" t="s">
        <v>726</v>
      </c>
      <c r="C23" s="412"/>
    </row>
    <row r="24" spans="1:5" s="4" customFormat="1" ht="25.5">
      <c r="A24" s="90">
        <v>19</v>
      </c>
      <c r="B24" s="42" t="s">
        <v>44</v>
      </c>
      <c r="C24" s="183"/>
    </row>
    <row r="25" spans="1:5" s="4" customFormat="1" ht="25.5">
      <c r="A25" s="90">
        <v>20</v>
      </c>
      <c r="B25" s="42" t="s">
        <v>45</v>
      </c>
      <c r="C25" s="183"/>
    </row>
    <row r="26" spans="1:5" s="4" customFormat="1" ht="25.5">
      <c r="A26" s="90">
        <v>21</v>
      </c>
      <c r="B26" s="45" t="s">
        <v>46</v>
      </c>
      <c r="C26" s="183"/>
    </row>
    <row r="27" spans="1:5" s="4" customFormat="1">
      <c r="A27" s="90">
        <v>22</v>
      </c>
      <c r="B27" s="45" t="s">
        <v>47</v>
      </c>
      <c r="C27" s="183"/>
    </row>
    <row r="28" spans="1:5" s="4" customFormat="1" ht="25.5">
      <c r="A28" s="90">
        <v>23</v>
      </c>
      <c r="B28" s="45" t="s">
        <v>48</v>
      </c>
      <c r="C28" s="183"/>
    </row>
    <row r="29" spans="1:5" s="4" customFormat="1">
      <c r="A29" s="90">
        <v>24</v>
      </c>
      <c r="B29" s="51" t="s">
        <v>22</v>
      </c>
      <c r="C29" s="182">
        <f>C6-C12</f>
        <v>261350407.10290265</v>
      </c>
      <c r="E29" s="678">
        <f>C29-'1. key ratios'!C8</f>
        <v>0</v>
      </c>
    </row>
    <row r="30" spans="1:5" s="4" customFormat="1">
      <c r="A30" s="92"/>
      <c r="B30" s="46"/>
      <c r="C30" s="183"/>
    </row>
    <row r="31" spans="1:5" s="4" customFormat="1">
      <c r="A31" s="92">
        <v>25</v>
      </c>
      <c r="B31" s="51" t="s">
        <v>49</v>
      </c>
      <c r="C31" s="182">
        <f>C32+C35</f>
        <v>50857200</v>
      </c>
    </row>
    <row r="32" spans="1:5" s="4" customFormat="1">
      <c r="A32" s="92">
        <v>26</v>
      </c>
      <c r="B32" s="41" t="s">
        <v>50</v>
      </c>
      <c r="C32" s="184">
        <f>C33+C34</f>
        <v>50857200</v>
      </c>
    </row>
    <row r="33" spans="1:3" s="4" customFormat="1">
      <c r="A33" s="92">
        <v>27</v>
      </c>
      <c r="B33" s="124" t="s">
        <v>51</v>
      </c>
      <c r="C33" s="183">
        <v>50857200</v>
      </c>
    </row>
    <row r="34" spans="1:3" s="4" customFormat="1">
      <c r="A34" s="92">
        <v>28</v>
      </c>
      <c r="B34" s="124" t="s">
        <v>52</v>
      </c>
      <c r="C34" s="183"/>
    </row>
    <row r="35" spans="1:3" s="4" customFormat="1">
      <c r="A35" s="92">
        <v>29</v>
      </c>
      <c r="B35" s="41" t="s">
        <v>53</v>
      </c>
      <c r="C35" s="183"/>
    </row>
    <row r="36" spans="1:3" s="4" customFormat="1">
      <c r="A36" s="92">
        <v>30</v>
      </c>
      <c r="B36" s="51" t="s">
        <v>54</v>
      </c>
      <c r="C36" s="182">
        <f>SUM(C37:C41)</f>
        <v>0</v>
      </c>
    </row>
    <row r="37" spans="1:3" s="4" customFormat="1">
      <c r="A37" s="92">
        <v>31</v>
      </c>
      <c r="B37" s="42" t="s">
        <v>55</v>
      </c>
      <c r="C37" s="183"/>
    </row>
    <row r="38" spans="1:3" s="4" customFormat="1">
      <c r="A38" s="92">
        <v>32</v>
      </c>
      <c r="B38" s="43" t="s">
        <v>56</v>
      </c>
      <c r="C38" s="183"/>
    </row>
    <row r="39" spans="1:3" s="4" customFormat="1" ht="25.5">
      <c r="A39" s="92">
        <v>33</v>
      </c>
      <c r="B39" s="42" t="s">
        <v>57</v>
      </c>
      <c r="C39" s="183"/>
    </row>
    <row r="40" spans="1:3" s="4" customFormat="1" ht="25.5">
      <c r="A40" s="92">
        <v>34</v>
      </c>
      <c r="B40" s="42" t="s">
        <v>45</v>
      </c>
      <c r="C40" s="183"/>
    </row>
    <row r="41" spans="1:3" s="4" customFormat="1" ht="25.5">
      <c r="A41" s="92">
        <v>35</v>
      </c>
      <c r="B41" s="45" t="s">
        <v>58</v>
      </c>
      <c r="C41" s="183"/>
    </row>
    <row r="42" spans="1:3" s="4" customFormat="1">
      <c r="A42" s="92">
        <v>36</v>
      </c>
      <c r="B42" s="51" t="s">
        <v>23</v>
      </c>
      <c r="C42" s="182">
        <f>C31-C36</f>
        <v>50857200</v>
      </c>
    </row>
    <row r="43" spans="1:3" s="4" customFormat="1">
      <c r="A43" s="92"/>
      <c r="B43" s="46"/>
      <c r="C43" s="183"/>
    </row>
    <row r="44" spans="1:3" s="4" customFormat="1">
      <c r="A44" s="92">
        <v>37</v>
      </c>
      <c r="B44" s="52" t="s">
        <v>59</v>
      </c>
      <c r="C44" s="182">
        <f>SUM(C45:C47)</f>
        <v>64022645.200000003</v>
      </c>
    </row>
    <row r="45" spans="1:3" s="4" customFormat="1">
      <c r="A45" s="92">
        <v>38</v>
      </c>
      <c r="B45" s="41" t="s">
        <v>60</v>
      </c>
      <c r="C45" s="183">
        <v>64022645.200000003</v>
      </c>
    </row>
    <row r="46" spans="1:3" s="4" customFormat="1">
      <c r="A46" s="92">
        <v>39</v>
      </c>
      <c r="B46" s="41" t="s">
        <v>61</v>
      </c>
      <c r="C46" s="183"/>
    </row>
    <row r="47" spans="1:3" s="4" customFormat="1">
      <c r="A47" s="92">
        <v>40</v>
      </c>
      <c r="B47" s="638" t="s">
        <v>725</v>
      </c>
      <c r="C47" s="183"/>
    </row>
    <row r="48" spans="1:3" s="4" customFormat="1">
      <c r="A48" s="92">
        <v>41</v>
      </c>
      <c r="B48" s="52" t="s">
        <v>62</v>
      </c>
      <c r="C48" s="182">
        <f>SUM(C49:C52)</f>
        <v>0</v>
      </c>
    </row>
    <row r="49" spans="1:3" s="4" customFormat="1">
      <c r="A49" s="92">
        <v>42</v>
      </c>
      <c r="B49" s="42" t="s">
        <v>63</v>
      </c>
      <c r="C49" s="183"/>
    </row>
    <row r="50" spans="1:3" s="4" customFormat="1">
      <c r="A50" s="92">
        <v>43</v>
      </c>
      <c r="B50" s="43" t="s">
        <v>64</v>
      </c>
      <c r="C50" s="183"/>
    </row>
    <row r="51" spans="1:3" s="4" customFormat="1" ht="25.5">
      <c r="A51" s="92">
        <v>44</v>
      </c>
      <c r="B51" s="42" t="s">
        <v>65</v>
      </c>
      <c r="C51" s="183"/>
    </row>
    <row r="52" spans="1:3" s="4" customFormat="1" ht="25.5">
      <c r="A52" s="92">
        <v>45</v>
      </c>
      <c r="B52" s="42" t="s">
        <v>45</v>
      </c>
      <c r="C52" s="183"/>
    </row>
    <row r="53" spans="1:3" s="4" customFormat="1" ht="15.75" thickBot="1">
      <c r="A53" s="92">
        <v>46</v>
      </c>
      <c r="B53" s="93" t="s">
        <v>24</v>
      </c>
      <c r="C53" s="185">
        <f>C44-C48</f>
        <v>64022645.200000003</v>
      </c>
    </row>
    <row r="55" spans="1:3">
      <c r="C55" s="716">
        <f>C29+C31+C44-'1. key ratios'!C10</f>
        <v>0</v>
      </c>
    </row>
    <row r="56" spans="1:3">
      <c r="B56" s="2" t="s">
        <v>141</v>
      </c>
      <c r="C56" s="716"/>
    </row>
    <row r="57" spans="1:3">
      <c r="C57" s="716"/>
    </row>
    <row r="58" spans="1:3">
      <c r="C58" s="716"/>
    </row>
    <row r="59" spans="1:3">
      <c r="C59" s="716"/>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E20" sqref="E20:E21"/>
    </sheetView>
  </sheetViews>
  <sheetFormatPr defaultColWidth="9.28515625" defaultRowHeight="12.75"/>
  <cols>
    <col min="1" max="1" width="10.7109375" style="233" bestFit="1" customWidth="1"/>
    <col min="2" max="2" width="59" style="233" customWidth="1"/>
    <col min="3" max="3" width="16.7109375" style="233" bestFit="1" customWidth="1"/>
    <col min="4" max="4" width="22.28515625" style="233" customWidth="1"/>
    <col min="5" max="16384" width="9.28515625" style="233"/>
  </cols>
  <sheetData>
    <row r="1" spans="1:4" ht="15">
      <c r="A1" s="17" t="s">
        <v>108</v>
      </c>
      <c r="B1" s="16" t="str">
        <f>Info!C2</f>
        <v>JSC "VTB Bank (Georgia)"</v>
      </c>
    </row>
    <row r="2" spans="1:4" s="21" customFormat="1" ht="15.75" customHeight="1">
      <c r="A2" s="21" t="s">
        <v>109</v>
      </c>
      <c r="B2" s="347">
        <f>Info!D2</f>
        <v>45291</v>
      </c>
    </row>
    <row r="3" spans="1:4" s="21" customFormat="1" ht="15.75" customHeight="1"/>
    <row r="4" spans="1:4" ht="13.5" thickBot="1">
      <c r="A4" s="234" t="s">
        <v>357</v>
      </c>
      <c r="B4" s="263" t="s">
        <v>358</v>
      </c>
    </row>
    <row r="5" spans="1:4" s="264" customFormat="1">
      <c r="A5" s="813" t="s">
        <v>359</v>
      </c>
      <c r="B5" s="814"/>
      <c r="C5" s="253" t="s">
        <v>360</v>
      </c>
      <c r="D5" s="254" t="s">
        <v>361</v>
      </c>
    </row>
    <row r="6" spans="1:4" s="265" customFormat="1">
      <c r="A6" s="255">
        <v>1</v>
      </c>
      <c r="B6" s="256" t="s">
        <v>362</v>
      </c>
      <c r="C6" s="256"/>
      <c r="D6" s="257"/>
    </row>
    <row r="7" spans="1:4" s="265" customFormat="1">
      <c r="A7" s="258" t="s">
        <v>363</v>
      </c>
      <c r="B7" s="259" t="s">
        <v>364</v>
      </c>
      <c r="C7" s="309">
        <v>4.4999999999999998E-2</v>
      </c>
      <c r="D7" s="677">
        <f>C7*'5. RWA'!$C$13</f>
        <v>26310965.325760499</v>
      </c>
    </row>
    <row r="8" spans="1:4" s="265" customFormat="1">
      <c r="A8" s="258" t="s">
        <v>365</v>
      </c>
      <c r="B8" s="259" t="s">
        <v>366</v>
      </c>
      <c r="C8" s="310">
        <v>0.06</v>
      </c>
      <c r="D8" s="677">
        <f>C8*'5. RWA'!$C$13</f>
        <v>35081287.101013996</v>
      </c>
    </row>
    <row r="9" spans="1:4" s="265" customFormat="1">
      <c r="A9" s="258" t="s">
        <v>367</v>
      </c>
      <c r="B9" s="259" t="s">
        <v>368</v>
      </c>
      <c r="C9" s="310">
        <v>0.08</v>
      </c>
      <c r="D9" s="677">
        <f>C9*'5. RWA'!$C$13</f>
        <v>46775049.468018666</v>
      </c>
    </row>
    <row r="10" spans="1:4" s="265" customFormat="1">
      <c r="A10" s="255" t="s">
        <v>369</v>
      </c>
      <c r="B10" s="256" t="s">
        <v>370</v>
      </c>
      <c r="C10" s="311"/>
      <c r="D10" s="676"/>
    </row>
    <row r="11" spans="1:4" s="266" customFormat="1">
      <c r="A11" s="260" t="s">
        <v>371</v>
      </c>
      <c r="B11" s="261" t="s">
        <v>433</v>
      </c>
      <c r="C11" s="312">
        <v>2.5000000000000001E-2</v>
      </c>
      <c r="D11" s="675">
        <f>C11*'5. RWA'!$C$13</f>
        <v>14617202.958755834</v>
      </c>
    </row>
    <row r="12" spans="1:4" s="266" customFormat="1">
      <c r="A12" s="260" t="s">
        <v>372</v>
      </c>
      <c r="B12" s="261" t="s">
        <v>373</v>
      </c>
      <c r="C12" s="312">
        <v>0</v>
      </c>
      <c r="D12" s="675">
        <f>C12*'5. RWA'!$C$13</f>
        <v>0</v>
      </c>
    </row>
    <row r="13" spans="1:4" s="266" customFormat="1">
      <c r="A13" s="260" t="s">
        <v>374</v>
      </c>
      <c r="B13" s="261" t="s">
        <v>375</v>
      </c>
      <c r="C13" s="312"/>
      <c r="D13" s="675">
        <f>C13*'5. RWA'!$C$13</f>
        <v>0</v>
      </c>
    </row>
    <row r="14" spans="1:4" s="265" customFormat="1">
      <c r="A14" s="255" t="s">
        <v>376</v>
      </c>
      <c r="B14" s="256" t="s">
        <v>431</v>
      </c>
      <c r="C14" s="313"/>
      <c r="D14" s="676"/>
    </row>
    <row r="15" spans="1:4" s="265" customFormat="1">
      <c r="A15" s="275" t="s">
        <v>379</v>
      </c>
      <c r="B15" s="261" t="s">
        <v>432</v>
      </c>
      <c r="C15" s="754">
        <v>0.14193288873113313</v>
      </c>
      <c r="D15" s="675">
        <f>C15*'5. RWA'!$C$13</f>
        <v>82986473.644219264</v>
      </c>
    </row>
    <row r="16" spans="1:4" s="265" customFormat="1">
      <c r="A16" s="275" t="s">
        <v>380</v>
      </c>
      <c r="B16" s="261" t="s">
        <v>382</v>
      </c>
      <c r="C16" s="754">
        <v>0.15651376019468285</v>
      </c>
      <c r="D16" s="675">
        <f>C16*'5. RWA'!$C$13</f>
        <v>91511735.944148764</v>
      </c>
    </row>
    <row r="17" spans="1:6" s="265" customFormat="1">
      <c r="A17" s="275" t="s">
        <v>381</v>
      </c>
      <c r="B17" s="261" t="s">
        <v>429</v>
      </c>
      <c r="C17" s="754">
        <v>0.17569911738356409</v>
      </c>
      <c r="D17" s="675">
        <f>C17*'5. RWA'!$C$13</f>
        <v>102729186.33879286</v>
      </c>
    </row>
    <row r="18" spans="1:6" s="264" customFormat="1">
      <c r="A18" s="815" t="s">
        <v>430</v>
      </c>
      <c r="B18" s="816"/>
      <c r="C18" s="314" t="s">
        <v>360</v>
      </c>
      <c r="D18" s="674" t="s">
        <v>361</v>
      </c>
    </row>
    <row r="19" spans="1:6" s="265" customFormat="1">
      <c r="A19" s="262">
        <v>4</v>
      </c>
      <c r="B19" s="261" t="s">
        <v>22</v>
      </c>
      <c r="C19" s="312">
        <f>C7+C11+C12+C13+C15</f>
        <v>0.21193288873113314</v>
      </c>
      <c r="D19" s="677">
        <f>C19*'5. RWA'!$C$13</f>
        <v>123914641.9287356</v>
      </c>
      <c r="E19" s="755">
        <f>D19-'1. key ratios'!C11</f>
        <v>0</v>
      </c>
    </row>
    <row r="20" spans="1:6" s="265" customFormat="1">
      <c r="A20" s="262">
        <v>5</v>
      </c>
      <c r="B20" s="261" t="s">
        <v>86</v>
      </c>
      <c r="C20" s="312">
        <f>C8+C11+C12+C13+C16</f>
        <v>0.24151376019468285</v>
      </c>
      <c r="D20" s="677">
        <f>C20*'5. RWA'!$C$13</f>
        <v>141210226.00391859</v>
      </c>
      <c r="E20" s="755">
        <f>D20-'1. key ratios'!C12</f>
        <v>0</v>
      </c>
    </row>
    <row r="21" spans="1:6" s="265" customFormat="1" ht="13.5" thickBot="1">
      <c r="A21" s="267" t="s">
        <v>377</v>
      </c>
      <c r="B21" s="268" t="s">
        <v>85</v>
      </c>
      <c r="C21" s="315">
        <f>C9+C11+C12+C13+C17</f>
        <v>0.28069911738356412</v>
      </c>
      <c r="D21" s="673">
        <f>C21*'5. RWA'!$C$13</f>
        <v>164121438.76556736</v>
      </c>
      <c r="E21" s="755">
        <f>D21-'1. key ratios'!C13</f>
        <v>0</v>
      </c>
    </row>
    <row r="22" spans="1:6">
      <c r="F22" s="234"/>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80" zoomScaleNormal="80" workbookViewId="0">
      <pane xSplit="1" ySplit="5" topLeftCell="B51" activePane="bottomRight" state="frozen"/>
      <selection activeCell="B2" sqref="B2"/>
      <selection pane="topRight" activeCell="B2" sqref="B2"/>
      <selection pane="bottomLeft" activeCell="B2" sqref="B2"/>
      <selection pane="bottomRight" activeCell="C60" sqref="C60"/>
    </sheetView>
  </sheetViews>
  <sheetFormatPr defaultRowHeight="15.75"/>
  <cols>
    <col min="1" max="1" width="10.7109375" style="38" customWidth="1"/>
    <col min="2" max="2" width="91.7109375" style="38" customWidth="1"/>
    <col min="3" max="3" width="53.28515625" style="669" customWidth="1"/>
    <col min="4" max="4" width="32.28515625" style="38" customWidth="1"/>
    <col min="5" max="5" width="9.42578125" customWidth="1"/>
  </cols>
  <sheetData>
    <row r="1" spans="1:6">
      <c r="A1" s="17" t="s">
        <v>108</v>
      </c>
      <c r="B1" s="19" t="str">
        <f>Info!C2</f>
        <v>JSC "VTB Bank (Georgia)"</v>
      </c>
      <c r="E1" s="2"/>
      <c r="F1" s="2"/>
    </row>
    <row r="2" spans="1:6" s="21" customFormat="1" ht="15.75" customHeight="1">
      <c r="A2" s="21" t="s">
        <v>109</v>
      </c>
      <c r="B2" s="347">
        <f>Info!D2</f>
        <v>45291</v>
      </c>
      <c r="C2" s="668"/>
    </row>
    <row r="3" spans="1:6" s="21" customFormat="1" ht="15.75" customHeight="1">
      <c r="A3" s="26"/>
      <c r="C3" s="668"/>
    </row>
    <row r="4" spans="1:6" s="21" customFormat="1" ht="15.75" customHeight="1" thickBot="1">
      <c r="A4" s="21" t="s">
        <v>258</v>
      </c>
      <c r="B4" s="147" t="s">
        <v>172</v>
      </c>
      <c r="C4" s="668"/>
      <c r="D4" s="149" t="s">
        <v>87</v>
      </c>
    </row>
    <row r="5" spans="1:6" ht="25.5">
      <c r="A5" s="99" t="s">
        <v>25</v>
      </c>
      <c r="B5" s="100" t="s">
        <v>144</v>
      </c>
      <c r="C5" s="667" t="s">
        <v>858</v>
      </c>
      <c r="D5" s="148" t="s">
        <v>173</v>
      </c>
    </row>
    <row r="6" spans="1:6">
      <c r="A6" s="458">
        <v>1</v>
      </c>
      <c r="B6" s="415" t="s">
        <v>843</v>
      </c>
      <c r="C6" s="666">
        <f>SUM(C7:C9)</f>
        <v>153251888.46973205</v>
      </c>
      <c r="D6" s="94"/>
      <c r="E6" s="7"/>
    </row>
    <row r="7" spans="1:6">
      <c r="A7" s="458">
        <v>1.1000000000000001</v>
      </c>
      <c r="B7" s="416" t="s">
        <v>96</v>
      </c>
      <c r="C7" s="665">
        <v>146554453</v>
      </c>
      <c r="D7" s="95"/>
      <c r="E7" s="7"/>
    </row>
    <row r="8" spans="1:6">
      <c r="A8" s="458">
        <v>1.2</v>
      </c>
      <c r="B8" s="416" t="s">
        <v>97</v>
      </c>
      <c r="C8" s="665">
        <v>351</v>
      </c>
      <c r="D8" s="95"/>
      <c r="E8" s="7"/>
    </row>
    <row r="9" spans="1:6">
      <c r="A9" s="458">
        <v>1.3</v>
      </c>
      <c r="B9" s="416" t="s">
        <v>98</v>
      </c>
      <c r="C9" s="665">
        <v>6697084.4697320536</v>
      </c>
      <c r="D9" s="95"/>
      <c r="E9" s="7"/>
    </row>
    <row r="10" spans="1:6">
      <c r="A10" s="458">
        <v>2</v>
      </c>
      <c r="B10" s="417" t="s">
        <v>730</v>
      </c>
      <c r="C10" s="664"/>
      <c r="D10" s="95"/>
      <c r="E10" s="7"/>
    </row>
    <row r="11" spans="1:6">
      <c r="A11" s="458">
        <v>2.1</v>
      </c>
      <c r="B11" s="418" t="s">
        <v>731</v>
      </c>
      <c r="C11" s="663"/>
      <c r="D11" s="96"/>
      <c r="E11" s="8"/>
    </row>
    <row r="12" spans="1:6" ht="23.65" customHeight="1">
      <c r="A12" s="458">
        <v>3</v>
      </c>
      <c r="B12" s="419" t="s">
        <v>732</v>
      </c>
      <c r="C12" s="662"/>
      <c r="D12" s="96"/>
      <c r="E12" s="8"/>
    </row>
    <row r="13" spans="1:6" ht="22.9" customHeight="1">
      <c r="A13" s="458">
        <v>4</v>
      </c>
      <c r="B13" s="420" t="s">
        <v>733</v>
      </c>
      <c r="C13" s="662"/>
      <c r="D13" s="96"/>
      <c r="E13" s="8"/>
    </row>
    <row r="14" spans="1:6">
      <c r="A14" s="458">
        <v>5</v>
      </c>
      <c r="B14" s="420" t="s">
        <v>734</v>
      </c>
      <c r="C14" s="662">
        <f>SUM(C15:C17)</f>
        <v>0</v>
      </c>
      <c r="D14" s="96"/>
      <c r="E14" s="8"/>
    </row>
    <row r="15" spans="1:6">
      <c r="A15" s="458">
        <v>5.0999999999999996</v>
      </c>
      <c r="B15" s="421" t="s">
        <v>735</v>
      </c>
      <c r="C15" s="661"/>
      <c r="D15" s="96"/>
      <c r="E15" s="7"/>
    </row>
    <row r="16" spans="1:6">
      <c r="A16" s="458">
        <v>5.2</v>
      </c>
      <c r="B16" s="421" t="s">
        <v>569</v>
      </c>
      <c r="C16" s="665"/>
      <c r="D16" s="95"/>
      <c r="E16" s="7"/>
    </row>
    <row r="17" spans="1:5">
      <c r="A17" s="458">
        <v>5.3</v>
      </c>
      <c r="B17" s="421" t="s">
        <v>736</v>
      </c>
      <c r="C17" s="665"/>
      <c r="D17" s="95"/>
      <c r="E17" s="7"/>
    </row>
    <row r="18" spans="1:5">
      <c r="A18" s="458">
        <v>6</v>
      </c>
      <c r="B18" s="419" t="s">
        <v>737</v>
      </c>
      <c r="C18" s="664">
        <f>SUM(C19:C20)</f>
        <v>196526257.62119702</v>
      </c>
      <c r="D18" s="95"/>
      <c r="E18" s="7"/>
    </row>
    <row r="19" spans="1:5">
      <c r="A19" s="458">
        <v>6.1</v>
      </c>
      <c r="B19" s="421" t="s">
        <v>569</v>
      </c>
      <c r="C19" s="663"/>
      <c r="D19" s="95"/>
      <c r="E19" s="7"/>
    </row>
    <row r="20" spans="1:5">
      <c r="A20" s="458">
        <v>6.2</v>
      </c>
      <c r="B20" s="421" t="s">
        <v>736</v>
      </c>
      <c r="C20" s="663">
        <v>196526257.62119702</v>
      </c>
      <c r="D20" s="95"/>
      <c r="E20" s="7"/>
    </row>
    <row r="21" spans="1:5">
      <c r="A21" s="458">
        <v>7</v>
      </c>
      <c r="B21" s="422" t="s">
        <v>738</v>
      </c>
      <c r="C21" s="662">
        <f>'2. SOFP'!E22</f>
        <v>54000</v>
      </c>
      <c r="D21" s="95"/>
      <c r="E21" s="7"/>
    </row>
    <row r="22" spans="1:5">
      <c r="A22" s="458">
        <v>8</v>
      </c>
      <c r="B22" s="423" t="s">
        <v>739</v>
      </c>
      <c r="C22" s="664"/>
      <c r="D22" s="95"/>
      <c r="E22" s="7"/>
    </row>
    <row r="23" spans="1:5">
      <c r="A23" s="458">
        <v>9</v>
      </c>
      <c r="B23" s="420" t="s">
        <v>740</v>
      </c>
      <c r="C23" s="664">
        <f>SUM(C24:C25)</f>
        <v>63887457.020000011</v>
      </c>
      <c r="D23" s="486"/>
      <c r="E23" s="7"/>
    </row>
    <row r="24" spans="1:5">
      <c r="A24" s="458">
        <v>9.1</v>
      </c>
      <c r="B24" s="424" t="s">
        <v>741</v>
      </c>
      <c r="C24" s="660">
        <f>'7. LI1'!C26</f>
        <v>34609140.889999993</v>
      </c>
      <c r="D24" s="97"/>
      <c r="E24" s="7"/>
    </row>
    <row r="25" spans="1:5">
      <c r="A25" s="458">
        <v>9.1999999999999993</v>
      </c>
      <c r="B25" s="424" t="s">
        <v>742</v>
      </c>
      <c r="C25" s="660">
        <f>'7. LI1'!C27</f>
        <v>29278316.130000018</v>
      </c>
      <c r="D25" s="485"/>
      <c r="E25" s="6"/>
    </row>
    <row r="26" spans="1:5">
      <c r="A26" s="458">
        <v>10</v>
      </c>
      <c r="B26" s="420" t="s">
        <v>36</v>
      </c>
      <c r="C26" s="659">
        <f>SUM(C27:C28)</f>
        <v>1227246.99</v>
      </c>
      <c r="D26" s="633" t="s">
        <v>935</v>
      </c>
      <c r="E26" s="7"/>
    </row>
    <row r="27" spans="1:5">
      <c r="A27" s="458">
        <v>10.1</v>
      </c>
      <c r="B27" s="424" t="s">
        <v>743</v>
      </c>
      <c r="C27" s="665">
        <f>'7. LI1'!C29</f>
        <v>0</v>
      </c>
      <c r="D27" s="95"/>
      <c r="E27" s="7"/>
    </row>
    <row r="28" spans="1:5">
      <c r="A28" s="458">
        <v>10.199999999999999</v>
      </c>
      <c r="B28" s="424" t="s">
        <v>744</v>
      </c>
      <c r="C28" s="665">
        <f>'7. LI1'!C30</f>
        <v>1227246.99</v>
      </c>
      <c r="D28" s="95"/>
      <c r="E28" s="7"/>
    </row>
    <row r="29" spans="1:5">
      <c r="A29" s="458">
        <v>11</v>
      </c>
      <c r="B29" s="420" t="s">
        <v>745</v>
      </c>
      <c r="C29" s="664">
        <f>SUM(C30:C31)</f>
        <v>500121.3</v>
      </c>
      <c r="D29" s="95"/>
      <c r="E29" s="7"/>
    </row>
    <row r="30" spans="1:5">
      <c r="A30" s="458">
        <v>11.1</v>
      </c>
      <c r="B30" s="424" t="s">
        <v>746</v>
      </c>
      <c r="C30" s="665">
        <f>'7. LI1'!C32</f>
        <v>500121.3</v>
      </c>
      <c r="D30" s="95"/>
      <c r="E30" s="7"/>
    </row>
    <row r="31" spans="1:5">
      <c r="A31" s="458">
        <v>11.2</v>
      </c>
      <c r="B31" s="424" t="s">
        <v>747</v>
      </c>
      <c r="C31" s="665">
        <f>'7. LI1'!C33</f>
        <v>0</v>
      </c>
      <c r="D31" s="95"/>
      <c r="E31" s="7"/>
    </row>
    <row r="32" spans="1:5">
      <c r="A32" s="458">
        <v>13</v>
      </c>
      <c r="B32" s="420" t="s">
        <v>99</v>
      </c>
      <c r="C32" s="664">
        <f>'2. SOFP'!E33</f>
        <v>39789279.638137288</v>
      </c>
      <c r="D32" s="95"/>
      <c r="E32" s="7"/>
    </row>
    <row r="33" spans="1:5">
      <c r="A33" s="458">
        <v>13.1</v>
      </c>
      <c r="B33" s="425" t="s">
        <v>748</v>
      </c>
      <c r="C33" s="665">
        <f>'2. SOFP'!E34</f>
        <v>22290850.919999994</v>
      </c>
      <c r="D33" s="95"/>
      <c r="E33" s="7"/>
    </row>
    <row r="34" spans="1:5">
      <c r="A34" s="458">
        <v>13.2</v>
      </c>
      <c r="B34" s="425" t="s">
        <v>749</v>
      </c>
      <c r="C34" s="660"/>
      <c r="D34" s="97"/>
      <c r="E34" s="7"/>
    </row>
    <row r="35" spans="1:5">
      <c r="A35" s="458">
        <v>14</v>
      </c>
      <c r="B35" s="426" t="s">
        <v>750</v>
      </c>
      <c r="C35" s="658">
        <f>SUM(C6,C10,C12,C13,C14,C18,C21,C22,C23,C26,C29,C32)</f>
        <v>455236251.03906631</v>
      </c>
      <c r="D35" s="97"/>
      <c r="E35" s="7"/>
    </row>
    <row r="36" spans="1:5">
      <c r="A36" s="458"/>
      <c r="B36" s="427" t="s">
        <v>104</v>
      </c>
      <c r="C36" s="657"/>
      <c r="D36" s="98"/>
      <c r="E36" s="7"/>
    </row>
    <row r="37" spans="1:5">
      <c r="A37" s="458">
        <v>15</v>
      </c>
      <c r="B37" s="428" t="s">
        <v>751</v>
      </c>
      <c r="C37" s="656"/>
      <c r="D37" s="485"/>
      <c r="E37" s="6"/>
    </row>
    <row r="38" spans="1:5">
      <c r="A38" s="458">
        <v>15.1</v>
      </c>
      <c r="B38" s="429" t="s">
        <v>731</v>
      </c>
      <c r="C38" s="665"/>
      <c r="D38" s="95"/>
      <c r="E38" s="7"/>
    </row>
    <row r="39" spans="1:5" ht="21">
      <c r="A39" s="458">
        <v>16</v>
      </c>
      <c r="B39" s="422" t="s">
        <v>752</v>
      </c>
      <c r="C39" s="664"/>
      <c r="D39" s="95"/>
      <c r="E39" s="7"/>
    </row>
    <row r="40" spans="1:5">
      <c r="A40" s="458">
        <v>17</v>
      </c>
      <c r="B40" s="422" t="s">
        <v>753</v>
      </c>
      <c r="C40" s="664">
        <f>SUM(C41:C44)</f>
        <v>17261261.060199998</v>
      </c>
      <c r="D40" s="95"/>
      <c r="E40" s="7"/>
    </row>
    <row r="41" spans="1:5">
      <c r="A41" s="458">
        <v>17.100000000000001</v>
      </c>
      <c r="B41" s="430" t="s">
        <v>754</v>
      </c>
      <c r="C41" s="665">
        <v>17261261.060199998</v>
      </c>
      <c r="D41" s="95"/>
      <c r="E41" s="7"/>
    </row>
    <row r="42" spans="1:5">
      <c r="A42" s="474">
        <v>17.2</v>
      </c>
      <c r="B42" s="475" t="s">
        <v>100</v>
      </c>
      <c r="C42" s="660"/>
      <c r="D42" s="97"/>
      <c r="E42" s="7"/>
    </row>
    <row r="43" spans="1:5">
      <c r="A43" s="458">
        <v>17.3</v>
      </c>
      <c r="B43" s="476" t="s">
        <v>755</v>
      </c>
      <c r="C43" s="670"/>
      <c r="D43" s="477"/>
      <c r="E43" s="7"/>
    </row>
    <row r="44" spans="1:5">
      <c r="A44" s="458">
        <v>17.399999999999999</v>
      </c>
      <c r="B44" s="476" t="s">
        <v>756</v>
      </c>
      <c r="C44" s="670"/>
      <c r="D44" s="477"/>
      <c r="E44" s="7"/>
    </row>
    <row r="45" spans="1:5">
      <c r="A45" s="458">
        <v>18</v>
      </c>
      <c r="B45" s="478" t="s">
        <v>757</v>
      </c>
      <c r="C45" s="655"/>
      <c r="D45" s="484"/>
      <c r="E45" s="6"/>
    </row>
    <row r="46" spans="1:5">
      <c r="A46" s="458">
        <v>19</v>
      </c>
      <c r="B46" s="478" t="s">
        <v>758</v>
      </c>
      <c r="C46" s="672">
        <f>SUM(C47:C48)</f>
        <v>0</v>
      </c>
      <c r="D46" s="479"/>
    </row>
    <row r="47" spans="1:5">
      <c r="A47" s="458">
        <v>19.100000000000001</v>
      </c>
      <c r="B47" s="480" t="s">
        <v>759</v>
      </c>
      <c r="C47" s="670"/>
      <c r="D47" s="479"/>
    </row>
    <row r="48" spans="1:5">
      <c r="A48" s="458">
        <v>19.2</v>
      </c>
      <c r="B48" s="480" t="s">
        <v>760</v>
      </c>
      <c r="C48" s="670"/>
      <c r="D48" s="479"/>
    </row>
    <row r="49" spans="1:4">
      <c r="A49" s="458">
        <v>20</v>
      </c>
      <c r="B49" s="435" t="s">
        <v>101</v>
      </c>
      <c r="C49" s="671">
        <v>95901341.479999989</v>
      </c>
      <c r="D49" s="479"/>
    </row>
    <row r="50" spans="1:4">
      <c r="A50" s="458">
        <v>21</v>
      </c>
      <c r="B50" s="436" t="s">
        <v>89</v>
      </c>
      <c r="C50" s="671">
        <v>17070705.044500001</v>
      </c>
      <c r="D50" s="479"/>
    </row>
    <row r="51" spans="1:4">
      <c r="A51" s="458">
        <v>21.1</v>
      </c>
      <c r="B51" s="431" t="s">
        <v>761</v>
      </c>
      <c r="C51" s="670">
        <f>'2. SOFP'!E52</f>
        <v>1060412.6299999999</v>
      </c>
      <c r="D51" s="479"/>
    </row>
    <row r="52" spans="1:4">
      <c r="A52" s="458">
        <v>22</v>
      </c>
      <c r="B52" s="435" t="s">
        <v>762</v>
      </c>
      <c r="C52" s="671">
        <f>SUM(C37,C39,C40,C45,C46,C49,C50)</f>
        <v>130233307.58469999</v>
      </c>
      <c r="D52" s="479"/>
    </row>
    <row r="53" spans="1:4">
      <c r="A53" s="458"/>
      <c r="B53" s="437" t="s">
        <v>763</v>
      </c>
      <c r="C53" s="670"/>
      <c r="D53" s="479"/>
    </row>
    <row r="54" spans="1:4">
      <c r="A54" s="458">
        <v>23</v>
      </c>
      <c r="B54" s="435" t="s">
        <v>105</v>
      </c>
      <c r="C54" s="671">
        <v>209008277</v>
      </c>
      <c r="D54" s="479"/>
    </row>
    <row r="55" spans="1:4">
      <c r="A55" s="458">
        <v>24</v>
      </c>
      <c r="B55" s="435" t="s">
        <v>764</v>
      </c>
      <c r="C55" s="671">
        <v>0</v>
      </c>
      <c r="D55" s="479"/>
    </row>
    <row r="56" spans="1:4">
      <c r="A56" s="458">
        <v>25</v>
      </c>
      <c r="B56" s="438" t="s">
        <v>102</v>
      </c>
      <c r="C56" s="671"/>
      <c r="D56" s="479"/>
    </row>
    <row r="57" spans="1:4">
      <c r="A57" s="458">
        <v>26</v>
      </c>
      <c r="B57" s="478" t="s">
        <v>765</v>
      </c>
      <c r="C57" s="671"/>
      <c r="D57" s="479"/>
    </row>
    <row r="58" spans="1:4">
      <c r="A58" s="458">
        <v>27</v>
      </c>
      <c r="B58" s="478" t="s">
        <v>766</v>
      </c>
      <c r="C58" s="671">
        <f>SUM(C59:C60)</f>
        <v>50857200</v>
      </c>
      <c r="D58" s="479"/>
    </row>
    <row r="59" spans="1:4">
      <c r="A59" s="458">
        <v>27.1</v>
      </c>
      <c r="B59" s="481" t="s">
        <v>767</v>
      </c>
      <c r="C59" s="670"/>
      <c r="D59" s="479"/>
    </row>
    <row r="60" spans="1:4">
      <c r="A60" s="458">
        <v>27.2</v>
      </c>
      <c r="B60" s="476" t="s">
        <v>768</v>
      </c>
      <c r="C60" s="670">
        <v>50857200</v>
      </c>
      <c r="D60" s="479"/>
    </row>
    <row r="61" spans="1:4">
      <c r="A61" s="458">
        <v>28</v>
      </c>
      <c r="B61" s="436" t="s">
        <v>769</v>
      </c>
      <c r="C61" s="671"/>
      <c r="D61" s="479"/>
    </row>
    <row r="62" spans="1:4">
      <c r="A62" s="458">
        <v>29</v>
      </c>
      <c r="B62" s="478" t="s">
        <v>770</v>
      </c>
      <c r="C62" s="671">
        <f>SUM(C63:C65)</f>
        <v>11740025.619999999</v>
      </c>
      <c r="D62" s="479"/>
    </row>
    <row r="63" spans="1:4">
      <c r="A63" s="458">
        <v>29.1</v>
      </c>
      <c r="B63" s="482" t="s">
        <v>771</v>
      </c>
      <c r="C63" s="670">
        <v>11740025.619999999</v>
      </c>
      <c r="D63" s="479"/>
    </row>
    <row r="64" spans="1:4" ht="24" customHeight="1">
      <c r="A64" s="458">
        <v>29.2</v>
      </c>
      <c r="B64" s="481" t="s">
        <v>772</v>
      </c>
      <c r="C64" s="670"/>
      <c r="D64" s="479"/>
    </row>
    <row r="65" spans="1:4" ht="22.15" customHeight="1">
      <c r="A65" s="458">
        <v>29.3</v>
      </c>
      <c r="B65" s="483" t="s">
        <v>773</v>
      </c>
      <c r="C65" s="670"/>
      <c r="D65" s="479"/>
    </row>
    <row r="66" spans="1:4">
      <c r="A66" s="458">
        <v>30</v>
      </c>
      <c r="B66" s="441" t="s">
        <v>103</v>
      </c>
      <c r="C66" s="671">
        <v>53397442.102902658</v>
      </c>
      <c r="D66" s="479"/>
    </row>
    <row r="67" spans="1:4">
      <c r="A67" s="458">
        <v>31</v>
      </c>
      <c r="B67" s="440" t="s">
        <v>774</v>
      </c>
      <c r="C67" s="671">
        <f>SUM(C54,C55,C56,C57,C58,C61,C62,C66)</f>
        <v>325002944.72290266</v>
      </c>
      <c r="D67" s="479"/>
    </row>
    <row r="68" spans="1:4">
      <c r="A68" s="458">
        <v>32</v>
      </c>
      <c r="B68" s="441" t="s">
        <v>775</v>
      </c>
      <c r="C68" s="671">
        <f>SUM(C52,C67)</f>
        <v>455236252.30760264</v>
      </c>
      <c r="D68" s="479"/>
    </row>
    <row r="69" spans="1:4">
      <c r="C69" s="669">
        <f>C68-C35</f>
        <v>1.2685363292694092</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70" zoomScaleNormal="70" workbookViewId="0">
      <pane xSplit="2" ySplit="7" topLeftCell="C8" activePane="bottomRight" state="frozen"/>
      <selection activeCell="B2" sqref="B2"/>
      <selection pane="topRight" activeCell="B2" sqref="B2"/>
      <selection pane="bottomLeft" activeCell="B2" sqref="B2"/>
      <selection pane="bottomRight" activeCell="C8" sqref="C8:R21"/>
    </sheetView>
  </sheetViews>
  <sheetFormatPr defaultColWidth="9.28515625" defaultRowHeight="12.75"/>
  <cols>
    <col min="1" max="1" width="10.5703125" style="2" bestFit="1" customWidth="1"/>
    <col min="2" max="2" width="97" style="2" bestFit="1" customWidth="1"/>
    <col min="3" max="3" width="16" style="2" bestFit="1" customWidth="1"/>
    <col min="4" max="4" width="13.28515625" style="2" bestFit="1" customWidth="1"/>
    <col min="5" max="5" width="14" style="2" bestFit="1" customWidth="1"/>
    <col min="6" max="6" width="13.28515625" style="2" bestFit="1" customWidth="1"/>
    <col min="7" max="7" width="13.7109375" style="2" bestFit="1" customWidth="1"/>
    <col min="8" max="8" width="13.28515625" style="2" bestFit="1" customWidth="1"/>
    <col min="9" max="9" width="14" style="2" bestFit="1" customWidth="1"/>
    <col min="10" max="10" width="13.28515625" style="2" bestFit="1" customWidth="1"/>
    <col min="11" max="11" width="9.5703125" style="2" bestFit="1" customWidth="1"/>
    <col min="12" max="12" width="13.28515625" style="2" bestFit="1" customWidth="1"/>
    <col min="13" max="13" width="16" style="2" bestFit="1" customWidth="1"/>
    <col min="14" max="14" width="13.28515625" style="2" bestFit="1" customWidth="1"/>
    <col min="15" max="15" width="14.85546875" style="2" bestFit="1" customWidth="1"/>
    <col min="16" max="16" width="13.28515625" style="2" bestFit="1" customWidth="1"/>
    <col min="17" max="17" width="9.5703125" style="2" bestFit="1" customWidth="1"/>
    <col min="18" max="18" width="13.28515625" style="2" bestFit="1" customWidth="1"/>
    <col min="19" max="19" width="31.7109375" style="2" bestFit="1" customWidth="1"/>
    <col min="20" max="16384" width="9.28515625" style="12"/>
  </cols>
  <sheetData>
    <row r="1" spans="1:19">
      <c r="A1" s="2" t="s">
        <v>108</v>
      </c>
      <c r="B1" s="233" t="str">
        <f>Info!C2</f>
        <v>JSC "VTB Bank (Georgia)"</v>
      </c>
    </row>
    <row r="2" spans="1:19">
      <c r="A2" s="2" t="s">
        <v>109</v>
      </c>
      <c r="B2" s="347">
        <f>Info!D2</f>
        <v>45291</v>
      </c>
    </row>
    <row r="4" spans="1:19" ht="39" thickBot="1">
      <c r="A4" s="37" t="s">
        <v>259</v>
      </c>
      <c r="B4" s="204" t="s">
        <v>294</v>
      </c>
    </row>
    <row r="5" spans="1:19">
      <c r="A5" s="84"/>
      <c r="B5" s="86"/>
      <c r="C5" s="78" t="s">
        <v>0</v>
      </c>
      <c r="D5" s="78" t="s">
        <v>1</v>
      </c>
      <c r="E5" s="78" t="s">
        <v>2</v>
      </c>
      <c r="F5" s="78" t="s">
        <v>3</v>
      </c>
      <c r="G5" s="78" t="s">
        <v>4</v>
      </c>
      <c r="H5" s="78" t="s">
        <v>5</v>
      </c>
      <c r="I5" s="78" t="s">
        <v>145</v>
      </c>
      <c r="J5" s="78" t="s">
        <v>146</v>
      </c>
      <c r="K5" s="78" t="s">
        <v>147</v>
      </c>
      <c r="L5" s="78" t="s">
        <v>148</v>
      </c>
      <c r="M5" s="78" t="s">
        <v>149</v>
      </c>
      <c r="N5" s="78" t="s">
        <v>150</v>
      </c>
      <c r="O5" s="78" t="s">
        <v>281</v>
      </c>
      <c r="P5" s="78" t="s">
        <v>282</v>
      </c>
      <c r="Q5" s="78" t="s">
        <v>283</v>
      </c>
      <c r="R5" s="199" t="s">
        <v>284</v>
      </c>
      <c r="S5" s="79" t="s">
        <v>285</v>
      </c>
    </row>
    <row r="6" spans="1:19" ht="46.5" customHeight="1">
      <c r="A6" s="102"/>
      <c r="B6" s="821" t="s">
        <v>286</v>
      </c>
      <c r="C6" s="819">
        <v>0</v>
      </c>
      <c r="D6" s="820"/>
      <c r="E6" s="819">
        <v>0.2</v>
      </c>
      <c r="F6" s="820"/>
      <c r="G6" s="819">
        <v>0.35</v>
      </c>
      <c r="H6" s="820"/>
      <c r="I6" s="819">
        <v>0.5</v>
      </c>
      <c r="J6" s="820"/>
      <c r="K6" s="819">
        <v>0.75</v>
      </c>
      <c r="L6" s="820"/>
      <c r="M6" s="819">
        <v>1</v>
      </c>
      <c r="N6" s="820"/>
      <c r="O6" s="819">
        <v>1.5</v>
      </c>
      <c r="P6" s="820"/>
      <c r="Q6" s="819">
        <v>2.5</v>
      </c>
      <c r="R6" s="820"/>
      <c r="S6" s="817" t="s">
        <v>156</v>
      </c>
    </row>
    <row r="7" spans="1:19">
      <c r="A7" s="102"/>
      <c r="B7" s="822"/>
      <c r="C7" s="203" t="s">
        <v>279</v>
      </c>
      <c r="D7" s="203" t="s">
        <v>280</v>
      </c>
      <c r="E7" s="203" t="s">
        <v>279</v>
      </c>
      <c r="F7" s="203" t="s">
        <v>280</v>
      </c>
      <c r="G7" s="203" t="s">
        <v>279</v>
      </c>
      <c r="H7" s="203" t="s">
        <v>280</v>
      </c>
      <c r="I7" s="203" t="s">
        <v>279</v>
      </c>
      <c r="J7" s="203" t="s">
        <v>280</v>
      </c>
      <c r="K7" s="203" t="s">
        <v>279</v>
      </c>
      <c r="L7" s="203" t="s">
        <v>280</v>
      </c>
      <c r="M7" s="203" t="s">
        <v>279</v>
      </c>
      <c r="N7" s="203" t="s">
        <v>280</v>
      </c>
      <c r="O7" s="203" t="s">
        <v>279</v>
      </c>
      <c r="P7" s="203" t="s">
        <v>280</v>
      </c>
      <c r="Q7" s="203" t="s">
        <v>279</v>
      </c>
      <c r="R7" s="203" t="s">
        <v>280</v>
      </c>
      <c r="S7" s="818"/>
    </row>
    <row r="8" spans="1:19" s="105" customFormat="1">
      <c r="A8" s="82">
        <v>1</v>
      </c>
      <c r="B8" s="123" t="s">
        <v>134</v>
      </c>
      <c r="C8" s="756">
        <v>351</v>
      </c>
      <c r="D8" s="756"/>
      <c r="E8" s="756">
        <v>0</v>
      </c>
      <c r="F8" s="757"/>
      <c r="G8" s="756">
        <v>0</v>
      </c>
      <c r="H8" s="756"/>
      <c r="I8" s="756">
        <v>0</v>
      </c>
      <c r="J8" s="756"/>
      <c r="K8" s="756">
        <v>0</v>
      </c>
      <c r="L8" s="756"/>
      <c r="M8" s="756">
        <v>0</v>
      </c>
      <c r="N8" s="756"/>
      <c r="O8" s="756">
        <v>0</v>
      </c>
      <c r="P8" s="756"/>
      <c r="Q8" s="756">
        <v>0</v>
      </c>
      <c r="R8" s="757"/>
      <c r="S8" s="654">
        <f>$C$6*SUM(C8:D8)+$E$6*SUM(E8:F8)+$G$6*SUM(G8:H8)+$I$6*SUM(I8:J8)+$K$6*SUM(K8:L8)+$M$6*SUM(M8:N8)+$O$6*SUM(O8:P8)+$Q$6*SUM(Q8:R8)</f>
        <v>0</v>
      </c>
    </row>
    <row r="9" spans="1:19" s="105" customFormat="1">
      <c r="A9" s="82">
        <v>2</v>
      </c>
      <c r="B9" s="123" t="s">
        <v>135</v>
      </c>
      <c r="C9" s="756">
        <v>0</v>
      </c>
      <c r="D9" s="756"/>
      <c r="E9" s="756">
        <v>0</v>
      </c>
      <c r="F9" s="756"/>
      <c r="G9" s="756">
        <v>0</v>
      </c>
      <c r="H9" s="756"/>
      <c r="I9" s="756">
        <v>0</v>
      </c>
      <c r="J9" s="756"/>
      <c r="K9" s="756">
        <v>0</v>
      </c>
      <c r="L9" s="756"/>
      <c r="M9" s="756">
        <v>0</v>
      </c>
      <c r="N9" s="756"/>
      <c r="O9" s="756">
        <v>0</v>
      </c>
      <c r="P9" s="756"/>
      <c r="Q9" s="756">
        <v>0</v>
      </c>
      <c r="R9" s="757"/>
      <c r="S9" s="654">
        <f t="shared" ref="S9:S21" si="0">$C$6*SUM(C9:D9)+$E$6*SUM(E9:F9)+$G$6*SUM(G9:H9)+$I$6*SUM(I9:J9)+$K$6*SUM(K9:L9)+$M$6*SUM(M9:N9)+$O$6*SUM(O9:P9)+$Q$6*SUM(Q9:R9)</f>
        <v>0</v>
      </c>
    </row>
    <row r="10" spans="1:19" s="105" customFormat="1">
      <c r="A10" s="82">
        <v>3</v>
      </c>
      <c r="B10" s="123" t="s">
        <v>136</v>
      </c>
      <c r="C10" s="756">
        <v>0</v>
      </c>
      <c r="D10" s="756"/>
      <c r="E10" s="756">
        <v>0</v>
      </c>
      <c r="F10" s="756"/>
      <c r="G10" s="756">
        <v>0</v>
      </c>
      <c r="H10" s="756"/>
      <c r="I10" s="756">
        <v>0</v>
      </c>
      <c r="J10" s="756"/>
      <c r="K10" s="756">
        <v>0</v>
      </c>
      <c r="L10" s="756"/>
      <c r="M10" s="756">
        <v>0</v>
      </c>
      <c r="N10" s="756"/>
      <c r="O10" s="756">
        <v>0</v>
      </c>
      <c r="P10" s="756"/>
      <c r="Q10" s="756">
        <v>0</v>
      </c>
      <c r="R10" s="757"/>
      <c r="S10" s="654">
        <f t="shared" si="0"/>
        <v>0</v>
      </c>
    </row>
    <row r="11" spans="1:19" s="105" customFormat="1">
      <c r="A11" s="82">
        <v>4</v>
      </c>
      <c r="B11" s="123" t="s">
        <v>137</v>
      </c>
      <c r="C11" s="756">
        <v>0</v>
      </c>
      <c r="D11" s="756"/>
      <c r="E11" s="756">
        <v>0</v>
      </c>
      <c r="F11" s="756"/>
      <c r="G11" s="756">
        <v>0</v>
      </c>
      <c r="H11" s="756"/>
      <c r="I11" s="756">
        <v>0</v>
      </c>
      <c r="J11" s="756"/>
      <c r="K11" s="756">
        <v>0</v>
      </c>
      <c r="L11" s="756"/>
      <c r="M11" s="756">
        <v>0</v>
      </c>
      <c r="N11" s="756"/>
      <c r="O11" s="756">
        <v>0</v>
      </c>
      <c r="P11" s="756"/>
      <c r="Q11" s="756">
        <v>0</v>
      </c>
      <c r="R11" s="757"/>
      <c r="S11" s="654">
        <f t="shared" si="0"/>
        <v>0</v>
      </c>
    </row>
    <row r="12" spans="1:19" s="105" customFormat="1">
      <c r="A12" s="82">
        <v>5</v>
      </c>
      <c r="B12" s="123" t="s">
        <v>949</v>
      </c>
      <c r="C12" s="756">
        <v>0</v>
      </c>
      <c r="D12" s="756"/>
      <c r="E12" s="756">
        <v>0</v>
      </c>
      <c r="F12" s="756"/>
      <c r="G12" s="756">
        <v>0</v>
      </c>
      <c r="H12" s="756"/>
      <c r="I12" s="756">
        <v>0</v>
      </c>
      <c r="J12" s="756"/>
      <c r="K12" s="756">
        <v>0</v>
      </c>
      <c r="L12" s="756"/>
      <c r="M12" s="756">
        <v>0</v>
      </c>
      <c r="N12" s="756"/>
      <c r="O12" s="756">
        <v>0</v>
      </c>
      <c r="P12" s="756"/>
      <c r="Q12" s="756">
        <v>0</v>
      </c>
      <c r="R12" s="757"/>
      <c r="S12" s="654">
        <f t="shared" si="0"/>
        <v>0</v>
      </c>
    </row>
    <row r="13" spans="1:19" s="105" customFormat="1">
      <c r="A13" s="82">
        <v>6</v>
      </c>
      <c r="B13" s="123" t="s">
        <v>138</v>
      </c>
      <c r="C13" s="756">
        <v>0</v>
      </c>
      <c r="D13" s="756"/>
      <c r="E13" s="756">
        <v>6579546.3948320542</v>
      </c>
      <c r="F13" s="756"/>
      <c r="G13" s="756">
        <v>0</v>
      </c>
      <c r="H13" s="756"/>
      <c r="I13" s="756">
        <v>759.78929999942193</v>
      </c>
      <c r="J13" s="756"/>
      <c r="K13" s="756">
        <v>0</v>
      </c>
      <c r="L13" s="756"/>
      <c r="M13" s="756">
        <v>116778.2856</v>
      </c>
      <c r="N13" s="756">
        <v>0</v>
      </c>
      <c r="O13" s="756">
        <v>0</v>
      </c>
      <c r="P13" s="756"/>
      <c r="Q13" s="756">
        <v>0</v>
      </c>
      <c r="R13" s="757"/>
      <c r="S13" s="654">
        <f t="shared" si="0"/>
        <v>1433067.4592164108</v>
      </c>
    </row>
    <row r="14" spans="1:19" s="105" customFormat="1">
      <c r="A14" s="82">
        <v>7</v>
      </c>
      <c r="B14" s="123" t="s">
        <v>71</v>
      </c>
      <c r="C14" s="756">
        <v>0</v>
      </c>
      <c r="D14" s="756">
        <v>0</v>
      </c>
      <c r="E14" s="756">
        <v>0</v>
      </c>
      <c r="F14" s="756">
        <v>0</v>
      </c>
      <c r="G14" s="756">
        <v>0</v>
      </c>
      <c r="H14" s="756"/>
      <c r="I14" s="756">
        <v>0</v>
      </c>
      <c r="J14" s="756">
        <v>0</v>
      </c>
      <c r="K14" s="756">
        <v>0</v>
      </c>
      <c r="L14" s="756"/>
      <c r="M14" s="756">
        <v>124022396.39043058</v>
      </c>
      <c r="N14" s="756">
        <v>1501847</v>
      </c>
      <c r="O14" s="756">
        <v>1035631.0624847576</v>
      </c>
      <c r="P14" s="756">
        <v>0</v>
      </c>
      <c r="Q14" s="756">
        <v>0</v>
      </c>
      <c r="R14" s="757">
        <v>0</v>
      </c>
      <c r="S14" s="654">
        <f t="shared" si="0"/>
        <v>127077689.98415773</v>
      </c>
    </row>
    <row r="15" spans="1:19" s="105" customFormat="1">
      <c r="A15" s="82">
        <v>8</v>
      </c>
      <c r="B15" s="123" t="s">
        <v>72</v>
      </c>
      <c r="C15" s="756">
        <v>0</v>
      </c>
      <c r="D15" s="756"/>
      <c r="E15" s="756">
        <v>0</v>
      </c>
      <c r="F15" s="756"/>
      <c r="G15" s="756">
        <v>0</v>
      </c>
      <c r="H15" s="756"/>
      <c r="I15" s="756">
        <v>0</v>
      </c>
      <c r="J15" s="756"/>
      <c r="K15" s="756">
        <v>0</v>
      </c>
      <c r="L15" s="756">
        <v>0</v>
      </c>
      <c r="M15" s="756">
        <v>0</v>
      </c>
      <c r="N15" s="756">
        <v>0</v>
      </c>
      <c r="O15" s="756">
        <v>0</v>
      </c>
      <c r="P15" s="756">
        <v>0</v>
      </c>
      <c r="Q15" s="756">
        <v>0</v>
      </c>
      <c r="R15" s="757"/>
      <c r="S15" s="654">
        <f t="shared" si="0"/>
        <v>0</v>
      </c>
    </row>
    <row r="16" spans="1:19" s="105" customFormat="1">
      <c r="A16" s="82">
        <v>9</v>
      </c>
      <c r="B16" s="123" t="s">
        <v>950</v>
      </c>
      <c r="C16" s="756">
        <v>0</v>
      </c>
      <c r="D16" s="756"/>
      <c r="E16" s="756">
        <v>0</v>
      </c>
      <c r="F16" s="756"/>
      <c r="G16" s="756">
        <v>7561046.8368128156</v>
      </c>
      <c r="H16" s="756">
        <v>0</v>
      </c>
      <c r="I16" s="756">
        <v>0</v>
      </c>
      <c r="J16" s="756"/>
      <c r="K16" s="756">
        <v>0</v>
      </c>
      <c r="L16" s="756"/>
      <c r="M16" s="756">
        <v>0</v>
      </c>
      <c r="N16" s="756"/>
      <c r="O16" s="756">
        <v>0</v>
      </c>
      <c r="P16" s="756"/>
      <c r="Q16" s="756">
        <v>0</v>
      </c>
      <c r="R16" s="757"/>
      <c r="S16" s="654">
        <f t="shared" si="0"/>
        <v>2646366.3928844854</v>
      </c>
    </row>
    <row r="17" spans="1:19" s="105" customFormat="1">
      <c r="A17" s="82">
        <v>10</v>
      </c>
      <c r="B17" s="123" t="s">
        <v>67</v>
      </c>
      <c r="C17" s="756">
        <v>16675.24948612829</v>
      </c>
      <c r="D17" s="756"/>
      <c r="E17" s="756">
        <v>0</v>
      </c>
      <c r="F17" s="756"/>
      <c r="G17" s="756">
        <v>0</v>
      </c>
      <c r="H17" s="756"/>
      <c r="I17" s="756">
        <v>3666755.3583602207</v>
      </c>
      <c r="J17" s="756"/>
      <c r="K17" s="756">
        <v>0</v>
      </c>
      <c r="L17" s="756"/>
      <c r="M17" s="756">
        <v>32618572.39797812</v>
      </c>
      <c r="N17" s="756"/>
      <c r="O17" s="756">
        <v>27605181.803644441</v>
      </c>
      <c r="P17" s="756"/>
      <c r="Q17" s="756">
        <v>0</v>
      </c>
      <c r="R17" s="757"/>
      <c r="S17" s="654">
        <f t="shared" si="0"/>
        <v>75859722.782624885</v>
      </c>
    </row>
    <row r="18" spans="1:19" s="105" customFormat="1">
      <c r="A18" s="82">
        <v>11</v>
      </c>
      <c r="B18" s="123" t="s">
        <v>68</v>
      </c>
      <c r="C18" s="756">
        <v>0</v>
      </c>
      <c r="D18" s="756"/>
      <c r="E18" s="756">
        <v>0</v>
      </c>
      <c r="F18" s="756"/>
      <c r="G18" s="756">
        <v>0</v>
      </c>
      <c r="H18" s="756"/>
      <c r="I18" s="756">
        <v>0</v>
      </c>
      <c r="J18" s="756"/>
      <c r="K18" s="756">
        <v>0</v>
      </c>
      <c r="L18" s="756"/>
      <c r="M18" s="756">
        <v>0</v>
      </c>
      <c r="N18" s="756"/>
      <c r="O18" s="756">
        <v>0</v>
      </c>
      <c r="P18" s="756"/>
      <c r="Q18" s="756">
        <v>0</v>
      </c>
      <c r="R18" s="757"/>
      <c r="S18" s="654">
        <f t="shared" si="0"/>
        <v>0</v>
      </c>
    </row>
    <row r="19" spans="1:19" s="105" customFormat="1">
      <c r="A19" s="82">
        <v>12</v>
      </c>
      <c r="B19" s="123" t="s">
        <v>69</v>
      </c>
      <c r="C19" s="756">
        <v>0</v>
      </c>
      <c r="D19" s="756"/>
      <c r="E19" s="756">
        <v>0</v>
      </c>
      <c r="F19" s="756"/>
      <c r="G19" s="756">
        <v>0</v>
      </c>
      <c r="H19" s="756"/>
      <c r="I19" s="756">
        <v>0</v>
      </c>
      <c r="J19" s="756"/>
      <c r="K19" s="756">
        <v>0</v>
      </c>
      <c r="L19" s="756"/>
      <c r="M19" s="756">
        <v>0</v>
      </c>
      <c r="N19" s="756"/>
      <c r="O19" s="756">
        <v>0</v>
      </c>
      <c r="P19" s="756"/>
      <c r="Q19" s="756">
        <v>0</v>
      </c>
      <c r="R19" s="757"/>
      <c r="S19" s="654">
        <f t="shared" si="0"/>
        <v>0</v>
      </c>
    </row>
    <row r="20" spans="1:19" s="105" customFormat="1">
      <c r="A20" s="82">
        <v>13</v>
      </c>
      <c r="B20" s="123" t="s">
        <v>70</v>
      </c>
      <c r="C20" s="756">
        <v>0</v>
      </c>
      <c r="D20" s="756"/>
      <c r="E20" s="756">
        <v>0</v>
      </c>
      <c r="F20" s="756"/>
      <c r="G20" s="756">
        <v>0</v>
      </c>
      <c r="H20" s="756"/>
      <c r="I20" s="756">
        <v>0</v>
      </c>
      <c r="J20" s="756"/>
      <c r="K20" s="756">
        <v>0</v>
      </c>
      <c r="L20" s="756"/>
      <c r="M20" s="756">
        <v>0</v>
      </c>
      <c r="N20" s="756"/>
      <c r="O20" s="756">
        <v>0</v>
      </c>
      <c r="P20" s="756"/>
      <c r="Q20" s="756">
        <v>0</v>
      </c>
      <c r="R20" s="757"/>
      <c r="S20" s="654">
        <f t="shared" si="0"/>
        <v>0</v>
      </c>
    </row>
    <row r="21" spans="1:19" s="105" customFormat="1">
      <c r="A21" s="82">
        <v>14</v>
      </c>
      <c r="B21" s="123" t="s">
        <v>154</v>
      </c>
      <c r="C21" s="756">
        <v>146554453</v>
      </c>
      <c r="D21" s="756"/>
      <c r="E21" s="756">
        <v>0</v>
      </c>
      <c r="F21" s="756"/>
      <c r="G21" s="756">
        <v>0</v>
      </c>
      <c r="H21" s="756"/>
      <c r="I21" s="756">
        <v>0</v>
      </c>
      <c r="J21" s="756"/>
      <c r="K21" s="756">
        <v>0</v>
      </c>
      <c r="L21" s="756"/>
      <c r="M21" s="756">
        <v>104230857.2976373</v>
      </c>
      <c r="N21" s="756"/>
      <c r="O21" s="756">
        <v>0</v>
      </c>
      <c r="P21" s="756"/>
      <c r="Q21" s="756">
        <v>0</v>
      </c>
      <c r="R21" s="757"/>
      <c r="S21" s="654">
        <f t="shared" si="0"/>
        <v>104230857.2976373</v>
      </c>
    </row>
    <row r="22" spans="1:19" ht="13.5" thickBot="1">
      <c r="A22" s="64"/>
      <c r="B22" s="107" t="s">
        <v>66</v>
      </c>
      <c r="C22" s="653">
        <f>SUM(C8:C21)</f>
        <v>146571479.24948612</v>
      </c>
      <c r="D22" s="653">
        <f t="shared" ref="D22:S22" si="1">SUM(D8:D21)</f>
        <v>0</v>
      </c>
      <c r="E22" s="653">
        <f t="shared" si="1"/>
        <v>6579546.3948320542</v>
      </c>
      <c r="F22" s="653">
        <f t="shared" si="1"/>
        <v>0</v>
      </c>
      <c r="G22" s="653">
        <f t="shared" si="1"/>
        <v>7561046.8368128156</v>
      </c>
      <c r="H22" s="653">
        <f t="shared" si="1"/>
        <v>0</v>
      </c>
      <c r="I22" s="653">
        <f t="shared" si="1"/>
        <v>3667515.14766022</v>
      </c>
      <c r="J22" s="653">
        <f t="shared" si="1"/>
        <v>0</v>
      </c>
      <c r="K22" s="653">
        <f t="shared" si="1"/>
        <v>0</v>
      </c>
      <c r="L22" s="653">
        <f t="shared" si="1"/>
        <v>0</v>
      </c>
      <c r="M22" s="653">
        <f t="shared" si="1"/>
        <v>260988604.37164599</v>
      </c>
      <c r="N22" s="653">
        <f t="shared" si="1"/>
        <v>1501847</v>
      </c>
      <c r="O22" s="653">
        <f t="shared" si="1"/>
        <v>28640812.866129197</v>
      </c>
      <c r="P22" s="653">
        <f t="shared" si="1"/>
        <v>0</v>
      </c>
      <c r="Q22" s="653">
        <f t="shared" si="1"/>
        <v>0</v>
      </c>
      <c r="R22" s="653">
        <f t="shared" si="1"/>
        <v>0</v>
      </c>
      <c r="S22" s="652">
        <f t="shared" si="1"/>
        <v>311247703.91652077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30" zoomScaleNormal="30" workbookViewId="0">
      <pane xSplit="2" ySplit="6" topLeftCell="C7" activePane="bottomRight" state="frozen"/>
      <selection activeCell="B2" sqref="B2"/>
      <selection pane="topRight" activeCell="B2" sqref="B2"/>
      <selection pane="bottomLeft" activeCell="B2" sqref="B2"/>
      <selection pane="bottomRight" activeCell="C7" sqref="C7:U20"/>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108</v>
      </c>
      <c r="B1" s="233" t="str">
        <f>Info!C2</f>
        <v>JSC "VTB Bank (Georgia)"</v>
      </c>
    </row>
    <row r="2" spans="1:22">
      <c r="A2" s="2" t="s">
        <v>109</v>
      </c>
      <c r="B2" s="347">
        <f>Info!D2</f>
        <v>45291</v>
      </c>
    </row>
    <row r="4" spans="1:22" ht="27.75" thickBot="1">
      <c r="A4" s="2" t="s">
        <v>260</v>
      </c>
      <c r="B4" s="205" t="s">
        <v>295</v>
      </c>
      <c r="V4" s="149" t="s">
        <v>87</v>
      </c>
    </row>
    <row r="5" spans="1:22">
      <c r="A5" s="62"/>
      <c r="B5" s="63"/>
      <c r="C5" s="823" t="s">
        <v>116</v>
      </c>
      <c r="D5" s="824"/>
      <c r="E5" s="824"/>
      <c r="F5" s="824"/>
      <c r="G5" s="824"/>
      <c r="H5" s="824"/>
      <c r="I5" s="824"/>
      <c r="J5" s="824"/>
      <c r="K5" s="824"/>
      <c r="L5" s="825"/>
      <c r="M5" s="823" t="s">
        <v>117</v>
      </c>
      <c r="N5" s="824"/>
      <c r="O5" s="824"/>
      <c r="P5" s="824"/>
      <c r="Q5" s="824"/>
      <c r="R5" s="824"/>
      <c r="S5" s="825"/>
      <c r="T5" s="828" t="s">
        <v>293</v>
      </c>
      <c r="U5" s="828" t="s">
        <v>292</v>
      </c>
      <c r="V5" s="826" t="s">
        <v>118</v>
      </c>
    </row>
    <row r="6" spans="1:22" s="37" customFormat="1" ht="140.25">
      <c r="A6" s="80"/>
      <c r="B6" s="125"/>
      <c r="C6" s="60" t="s">
        <v>119</v>
      </c>
      <c r="D6" s="59" t="s">
        <v>120</v>
      </c>
      <c r="E6" s="56" t="s">
        <v>121</v>
      </c>
      <c r="F6" s="206" t="s">
        <v>287</v>
      </c>
      <c r="G6" s="59" t="s">
        <v>122</v>
      </c>
      <c r="H6" s="59" t="s">
        <v>123</v>
      </c>
      <c r="I6" s="59" t="s">
        <v>124</v>
      </c>
      <c r="J6" s="59" t="s">
        <v>153</v>
      </c>
      <c r="K6" s="59" t="s">
        <v>125</v>
      </c>
      <c r="L6" s="61" t="s">
        <v>126</v>
      </c>
      <c r="M6" s="60" t="s">
        <v>127</v>
      </c>
      <c r="N6" s="59" t="s">
        <v>128</v>
      </c>
      <c r="O6" s="59" t="s">
        <v>129</v>
      </c>
      <c r="P6" s="59" t="s">
        <v>130</v>
      </c>
      <c r="Q6" s="59" t="s">
        <v>131</v>
      </c>
      <c r="R6" s="59" t="s">
        <v>132</v>
      </c>
      <c r="S6" s="61" t="s">
        <v>133</v>
      </c>
      <c r="T6" s="829"/>
      <c r="U6" s="829"/>
      <c r="V6" s="827"/>
    </row>
    <row r="7" spans="1:22" s="105" customFormat="1">
      <c r="A7" s="106">
        <v>1</v>
      </c>
      <c r="B7" s="123" t="s">
        <v>134</v>
      </c>
      <c r="C7" s="758"/>
      <c r="D7" s="758">
        <v>0</v>
      </c>
      <c r="E7" s="758"/>
      <c r="F7" s="758"/>
      <c r="G7" s="758"/>
      <c r="H7" s="758"/>
      <c r="I7" s="758"/>
      <c r="J7" s="758">
        <v>0</v>
      </c>
      <c r="K7" s="758"/>
      <c r="L7" s="759"/>
      <c r="M7" s="760"/>
      <c r="N7" s="758"/>
      <c r="O7" s="758"/>
      <c r="P7" s="758"/>
      <c r="Q7" s="758"/>
      <c r="R7" s="758"/>
      <c r="S7" s="759"/>
      <c r="T7" s="761">
        <v>0</v>
      </c>
      <c r="U7" s="762"/>
      <c r="V7" s="187">
        <f>SUM(C7:S7)</f>
        <v>0</v>
      </c>
    </row>
    <row r="8" spans="1:22" s="105" customFormat="1">
      <c r="A8" s="106">
        <v>2</v>
      </c>
      <c r="B8" s="123" t="s">
        <v>135</v>
      </c>
      <c r="C8" s="758"/>
      <c r="D8" s="758">
        <v>0</v>
      </c>
      <c r="E8" s="758"/>
      <c r="F8" s="758"/>
      <c r="G8" s="758"/>
      <c r="H8" s="758"/>
      <c r="I8" s="758"/>
      <c r="J8" s="758">
        <v>0</v>
      </c>
      <c r="K8" s="758"/>
      <c r="L8" s="759"/>
      <c r="M8" s="760"/>
      <c r="N8" s="758"/>
      <c r="O8" s="758"/>
      <c r="P8" s="758"/>
      <c r="Q8" s="758"/>
      <c r="R8" s="758"/>
      <c r="S8" s="759"/>
      <c r="T8" s="762">
        <v>0</v>
      </c>
      <c r="U8" s="762"/>
      <c r="V8" s="187">
        <f t="shared" ref="V8:V20" si="0">SUM(C8:S8)</f>
        <v>0</v>
      </c>
    </row>
    <row r="9" spans="1:22" s="105" customFormat="1">
      <c r="A9" s="106">
        <v>3</v>
      </c>
      <c r="B9" s="123" t="s">
        <v>136</v>
      </c>
      <c r="C9" s="758"/>
      <c r="D9" s="758">
        <v>0</v>
      </c>
      <c r="E9" s="758"/>
      <c r="F9" s="758"/>
      <c r="G9" s="758"/>
      <c r="H9" s="758"/>
      <c r="I9" s="758"/>
      <c r="J9" s="758">
        <v>0</v>
      </c>
      <c r="K9" s="758"/>
      <c r="L9" s="759"/>
      <c r="M9" s="760"/>
      <c r="N9" s="758"/>
      <c r="O9" s="758"/>
      <c r="P9" s="758"/>
      <c r="Q9" s="758"/>
      <c r="R9" s="758"/>
      <c r="S9" s="759"/>
      <c r="T9" s="762">
        <v>0</v>
      </c>
      <c r="U9" s="762"/>
      <c r="V9" s="187">
        <f>SUM(C9:S9)</f>
        <v>0</v>
      </c>
    </row>
    <row r="10" spans="1:22" s="105" customFormat="1">
      <c r="A10" s="106">
        <v>4</v>
      </c>
      <c r="B10" s="123" t="s">
        <v>137</v>
      </c>
      <c r="C10" s="758"/>
      <c r="D10" s="758">
        <v>0</v>
      </c>
      <c r="E10" s="758"/>
      <c r="F10" s="758"/>
      <c r="G10" s="758"/>
      <c r="H10" s="758"/>
      <c r="I10" s="758"/>
      <c r="J10" s="758">
        <v>0</v>
      </c>
      <c r="K10" s="758"/>
      <c r="L10" s="759"/>
      <c r="M10" s="760"/>
      <c r="N10" s="758"/>
      <c r="O10" s="758"/>
      <c r="P10" s="758"/>
      <c r="Q10" s="758"/>
      <c r="R10" s="758"/>
      <c r="S10" s="759"/>
      <c r="T10" s="762">
        <v>0</v>
      </c>
      <c r="U10" s="762"/>
      <c r="V10" s="187">
        <f t="shared" si="0"/>
        <v>0</v>
      </c>
    </row>
    <row r="11" spans="1:22" s="105" customFormat="1">
      <c r="A11" s="106">
        <v>5</v>
      </c>
      <c r="B11" s="123" t="s">
        <v>949</v>
      </c>
      <c r="C11" s="758"/>
      <c r="D11" s="758">
        <v>0</v>
      </c>
      <c r="E11" s="758"/>
      <c r="F11" s="758"/>
      <c r="G11" s="758"/>
      <c r="H11" s="758"/>
      <c r="I11" s="758"/>
      <c r="J11" s="758">
        <v>0</v>
      </c>
      <c r="K11" s="758"/>
      <c r="L11" s="759"/>
      <c r="M11" s="760"/>
      <c r="N11" s="758"/>
      <c r="O11" s="758"/>
      <c r="P11" s="758"/>
      <c r="Q11" s="758"/>
      <c r="R11" s="758"/>
      <c r="S11" s="759"/>
      <c r="T11" s="762">
        <v>0</v>
      </c>
      <c r="U11" s="762"/>
      <c r="V11" s="187">
        <f t="shared" si="0"/>
        <v>0</v>
      </c>
    </row>
    <row r="12" spans="1:22" s="105" customFormat="1">
      <c r="A12" s="106">
        <v>6</v>
      </c>
      <c r="B12" s="123" t="s">
        <v>138</v>
      </c>
      <c r="C12" s="758"/>
      <c r="D12" s="758">
        <v>0</v>
      </c>
      <c r="E12" s="758"/>
      <c r="F12" s="758"/>
      <c r="G12" s="758"/>
      <c r="H12" s="758"/>
      <c r="I12" s="758"/>
      <c r="J12" s="758">
        <v>0</v>
      </c>
      <c r="K12" s="758"/>
      <c r="L12" s="759"/>
      <c r="M12" s="760"/>
      <c r="N12" s="758"/>
      <c r="O12" s="758"/>
      <c r="P12" s="758"/>
      <c r="Q12" s="758"/>
      <c r="R12" s="758"/>
      <c r="S12" s="759"/>
      <c r="T12" s="762">
        <v>0</v>
      </c>
      <c r="U12" s="762"/>
      <c r="V12" s="187">
        <f t="shared" si="0"/>
        <v>0</v>
      </c>
    </row>
    <row r="13" spans="1:22" s="105" customFormat="1">
      <c r="A13" s="106">
        <v>7</v>
      </c>
      <c r="B13" s="123" t="s">
        <v>71</v>
      </c>
      <c r="C13" s="758"/>
      <c r="D13" s="758">
        <v>1752189.3645473644</v>
      </c>
      <c r="E13" s="758"/>
      <c r="F13" s="758"/>
      <c r="G13" s="758"/>
      <c r="H13" s="758"/>
      <c r="I13" s="758"/>
      <c r="J13" s="758">
        <v>0</v>
      </c>
      <c r="K13" s="758"/>
      <c r="L13" s="759"/>
      <c r="M13" s="760"/>
      <c r="N13" s="758"/>
      <c r="O13" s="758"/>
      <c r="P13" s="758"/>
      <c r="Q13" s="758"/>
      <c r="R13" s="758"/>
      <c r="S13" s="759"/>
      <c r="T13" s="762">
        <v>510578.3609604002</v>
      </c>
      <c r="U13" s="762">
        <v>1241611.0035869642</v>
      </c>
      <c r="V13" s="187">
        <f t="shared" si="0"/>
        <v>1752189.3645473644</v>
      </c>
    </row>
    <row r="14" spans="1:22" s="105" customFormat="1">
      <c r="A14" s="106">
        <v>8</v>
      </c>
      <c r="B14" s="123" t="s">
        <v>72</v>
      </c>
      <c r="C14" s="758"/>
      <c r="D14" s="758">
        <v>0</v>
      </c>
      <c r="E14" s="758"/>
      <c r="F14" s="758"/>
      <c r="G14" s="758"/>
      <c r="H14" s="758"/>
      <c r="I14" s="758"/>
      <c r="J14" s="758">
        <v>0</v>
      </c>
      <c r="K14" s="758"/>
      <c r="L14" s="759"/>
      <c r="M14" s="760"/>
      <c r="N14" s="758"/>
      <c r="O14" s="758"/>
      <c r="P14" s="758"/>
      <c r="Q14" s="758"/>
      <c r="R14" s="758"/>
      <c r="S14" s="759"/>
      <c r="T14" s="762">
        <v>0</v>
      </c>
      <c r="U14" s="762">
        <v>0</v>
      </c>
      <c r="V14" s="187">
        <f t="shared" si="0"/>
        <v>0</v>
      </c>
    </row>
    <row r="15" spans="1:22" s="105" customFormat="1">
      <c r="A15" s="106">
        <v>9</v>
      </c>
      <c r="B15" s="123" t="s">
        <v>950</v>
      </c>
      <c r="C15" s="758"/>
      <c r="D15" s="758">
        <v>0</v>
      </c>
      <c r="E15" s="758"/>
      <c r="F15" s="758"/>
      <c r="G15" s="758"/>
      <c r="H15" s="758"/>
      <c r="I15" s="758"/>
      <c r="J15" s="758">
        <v>0</v>
      </c>
      <c r="K15" s="758"/>
      <c r="L15" s="759"/>
      <c r="M15" s="760"/>
      <c r="N15" s="758"/>
      <c r="O15" s="758"/>
      <c r="P15" s="758"/>
      <c r="Q15" s="758"/>
      <c r="R15" s="758"/>
      <c r="S15" s="759"/>
      <c r="T15" s="762">
        <v>0</v>
      </c>
      <c r="U15" s="762"/>
      <c r="V15" s="187">
        <f t="shared" si="0"/>
        <v>0</v>
      </c>
    </row>
    <row r="16" spans="1:22" s="105" customFormat="1">
      <c r="A16" s="106">
        <v>10</v>
      </c>
      <c r="B16" s="123" t="s">
        <v>67</v>
      </c>
      <c r="C16" s="758"/>
      <c r="D16" s="758">
        <v>200000</v>
      </c>
      <c r="E16" s="758"/>
      <c r="F16" s="758"/>
      <c r="G16" s="758"/>
      <c r="H16" s="758"/>
      <c r="I16" s="758"/>
      <c r="J16" s="758">
        <v>0</v>
      </c>
      <c r="K16" s="758"/>
      <c r="L16" s="759"/>
      <c r="M16" s="760"/>
      <c r="N16" s="758"/>
      <c r="O16" s="758"/>
      <c r="P16" s="758"/>
      <c r="Q16" s="758"/>
      <c r="R16" s="758"/>
      <c r="S16" s="759"/>
      <c r="T16" s="762">
        <v>200000</v>
      </c>
      <c r="U16" s="762"/>
      <c r="V16" s="187">
        <f t="shared" si="0"/>
        <v>200000</v>
      </c>
    </row>
    <row r="17" spans="1:22" s="105" customFormat="1">
      <c r="A17" s="106">
        <v>11</v>
      </c>
      <c r="B17" s="123" t="s">
        <v>68</v>
      </c>
      <c r="C17" s="758"/>
      <c r="D17" s="758">
        <v>0</v>
      </c>
      <c r="E17" s="758"/>
      <c r="F17" s="758"/>
      <c r="G17" s="758"/>
      <c r="H17" s="758"/>
      <c r="I17" s="758"/>
      <c r="J17" s="758">
        <v>0</v>
      </c>
      <c r="K17" s="758"/>
      <c r="L17" s="759"/>
      <c r="M17" s="760"/>
      <c r="N17" s="758"/>
      <c r="O17" s="758"/>
      <c r="P17" s="758"/>
      <c r="Q17" s="758"/>
      <c r="R17" s="758"/>
      <c r="S17" s="759"/>
      <c r="T17" s="762">
        <v>0</v>
      </c>
      <c r="U17" s="762"/>
      <c r="V17" s="187">
        <f t="shared" si="0"/>
        <v>0</v>
      </c>
    </row>
    <row r="18" spans="1:22" s="105" customFormat="1">
      <c r="A18" s="106">
        <v>12</v>
      </c>
      <c r="B18" s="123" t="s">
        <v>69</v>
      </c>
      <c r="C18" s="758"/>
      <c r="D18" s="758">
        <v>0</v>
      </c>
      <c r="E18" s="758"/>
      <c r="F18" s="758"/>
      <c r="G18" s="758"/>
      <c r="H18" s="758"/>
      <c r="I18" s="758"/>
      <c r="J18" s="758">
        <v>0</v>
      </c>
      <c r="K18" s="758"/>
      <c r="L18" s="759"/>
      <c r="M18" s="760"/>
      <c r="N18" s="758"/>
      <c r="O18" s="758"/>
      <c r="P18" s="758"/>
      <c r="Q18" s="758"/>
      <c r="R18" s="758"/>
      <c r="S18" s="759"/>
      <c r="T18" s="762">
        <v>0</v>
      </c>
      <c r="U18" s="762"/>
      <c r="V18" s="187">
        <f t="shared" si="0"/>
        <v>0</v>
      </c>
    </row>
    <row r="19" spans="1:22" s="105" customFormat="1">
      <c r="A19" s="106">
        <v>13</v>
      </c>
      <c r="B19" s="123" t="s">
        <v>70</v>
      </c>
      <c r="C19" s="758"/>
      <c r="D19" s="758">
        <v>0</v>
      </c>
      <c r="E19" s="758"/>
      <c r="F19" s="758"/>
      <c r="G19" s="758"/>
      <c r="H19" s="758"/>
      <c r="I19" s="758"/>
      <c r="J19" s="758">
        <v>0</v>
      </c>
      <c r="K19" s="758"/>
      <c r="L19" s="759"/>
      <c r="M19" s="760"/>
      <c r="N19" s="758"/>
      <c r="O19" s="758"/>
      <c r="P19" s="758"/>
      <c r="Q19" s="758"/>
      <c r="R19" s="758"/>
      <c r="S19" s="759"/>
      <c r="T19" s="762">
        <v>0</v>
      </c>
      <c r="U19" s="762"/>
      <c r="V19" s="187">
        <f t="shared" si="0"/>
        <v>0</v>
      </c>
    </row>
    <row r="20" spans="1:22" s="105" customFormat="1">
      <c r="A20" s="106">
        <v>14</v>
      </c>
      <c r="B20" s="123" t="s">
        <v>154</v>
      </c>
      <c r="C20" s="758"/>
      <c r="D20" s="758">
        <v>0</v>
      </c>
      <c r="E20" s="758"/>
      <c r="F20" s="758"/>
      <c r="G20" s="758"/>
      <c r="H20" s="758"/>
      <c r="I20" s="758"/>
      <c r="J20" s="758">
        <v>0</v>
      </c>
      <c r="K20" s="758"/>
      <c r="L20" s="759"/>
      <c r="M20" s="760"/>
      <c r="N20" s="758"/>
      <c r="O20" s="758"/>
      <c r="P20" s="758"/>
      <c r="Q20" s="758"/>
      <c r="R20" s="758"/>
      <c r="S20" s="759"/>
      <c r="T20" s="762">
        <v>0</v>
      </c>
      <c r="U20" s="762"/>
      <c r="V20" s="187">
        <f t="shared" si="0"/>
        <v>0</v>
      </c>
    </row>
    <row r="21" spans="1:22" ht="13.5" thickBot="1">
      <c r="A21" s="64"/>
      <c r="B21" s="65" t="s">
        <v>66</v>
      </c>
      <c r="C21" s="188">
        <f>SUM(C7:C20)</f>
        <v>0</v>
      </c>
      <c r="D21" s="186">
        <f t="shared" ref="D21:V21" si="1">SUM(D7:D20)</f>
        <v>1952189.3645473644</v>
      </c>
      <c r="E21" s="186">
        <f t="shared" si="1"/>
        <v>0</v>
      </c>
      <c r="F21" s="186">
        <f t="shared" si="1"/>
        <v>0</v>
      </c>
      <c r="G21" s="186">
        <f t="shared" si="1"/>
        <v>0</v>
      </c>
      <c r="H21" s="186">
        <f t="shared" si="1"/>
        <v>0</v>
      </c>
      <c r="I21" s="186">
        <f t="shared" si="1"/>
        <v>0</v>
      </c>
      <c r="J21" s="186">
        <f t="shared" si="1"/>
        <v>0</v>
      </c>
      <c r="K21" s="186">
        <f t="shared" si="1"/>
        <v>0</v>
      </c>
      <c r="L21" s="189">
        <f t="shared" si="1"/>
        <v>0</v>
      </c>
      <c r="M21" s="188">
        <f t="shared" si="1"/>
        <v>0</v>
      </c>
      <c r="N21" s="186">
        <f t="shared" si="1"/>
        <v>0</v>
      </c>
      <c r="O21" s="186">
        <f t="shared" si="1"/>
        <v>0</v>
      </c>
      <c r="P21" s="186">
        <f t="shared" si="1"/>
        <v>0</v>
      </c>
      <c r="Q21" s="186">
        <f t="shared" si="1"/>
        <v>0</v>
      </c>
      <c r="R21" s="186">
        <f t="shared" si="1"/>
        <v>0</v>
      </c>
      <c r="S21" s="189">
        <f t="shared" si="1"/>
        <v>0</v>
      </c>
      <c r="T21" s="189">
        <f>SUM(T7:T20)</f>
        <v>710578.3609604002</v>
      </c>
      <c r="U21" s="189">
        <f t="shared" si="1"/>
        <v>1241611.0035869642</v>
      </c>
      <c r="V21" s="190">
        <f t="shared" si="1"/>
        <v>1952189.3645473644</v>
      </c>
    </row>
    <row r="24" spans="1:22">
      <c r="A24" s="18"/>
      <c r="B24" s="18"/>
      <c r="C24" s="40"/>
      <c r="D24" s="40"/>
      <c r="E24" s="40"/>
    </row>
    <row r="25" spans="1:22">
      <c r="A25" s="57"/>
      <c r="B25" s="57"/>
      <c r="C25" s="18"/>
      <c r="D25" s="40"/>
      <c r="E25" s="40"/>
    </row>
    <row r="26" spans="1:22">
      <c r="A26" s="57"/>
      <c r="B26" s="58"/>
      <c r="C26" s="18"/>
      <c r="D26" s="40"/>
      <c r="E26" s="40"/>
    </row>
    <row r="27" spans="1:22">
      <c r="A27" s="57"/>
      <c r="B27" s="57"/>
      <c r="C27" s="18"/>
      <c r="D27" s="40"/>
      <c r="E27" s="40"/>
    </row>
    <row r="28" spans="1:22">
      <c r="A28" s="57"/>
      <c r="B28" s="58"/>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8" sqref="C8:G21"/>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108</v>
      </c>
      <c r="B1" s="233" t="str">
        <f>Info!C2</f>
        <v>JSC "VTB Bank (Georgia)"</v>
      </c>
    </row>
    <row r="2" spans="1:9">
      <c r="A2" s="2" t="s">
        <v>109</v>
      </c>
      <c r="B2" s="347">
        <f>Info!D2</f>
        <v>45291</v>
      </c>
    </row>
    <row r="4" spans="1:9" ht="13.5" thickBot="1">
      <c r="A4" s="2" t="s">
        <v>261</v>
      </c>
      <c r="B4" s="202" t="s">
        <v>296</v>
      </c>
    </row>
    <row r="5" spans="1:9">
      <c r="A5" s="62"/>
      <c r="B5" s="103"/>
      <c r="C5" s="108" t="s">
        <v>0</v>
      </c>
      <c r="D5" s="108" t="s">
        <v>1</v>
      </c>
      <c r="E5" s="108" t="s">
        <v>2</v>
      </c>
      <c r="F5" s="108" t="s">
        <v>3</v>
      </c>
      <c r="G5" s="200" t="s">
        <v>4</v>
      </c>
      <c r="H5" s="109" t="s">
        <v>5</v>
      </c>
      <c r="I5" s="24"/>
    </row>
    <row r="6" spans="1:9" ht="15" customHeight="1">
      <c r="A6" s="102"/>
      <c r="B6" s="22"/>
      <c r="C6" s="830" t="s">
        <v>288</v>
      </c>
      <c r="D6" s="834" t="s">
        <v>309</v>
      </c>
      <c r="E6" s="835"/>
      <c r="F6" s="830" t="s">
        <v>315</v>
      </c>
      <c r="G6" s="830" t="s">
        <v>316</v>
      </c>
      <c r="H6" s="832" t="s">
        <v>290</v>
      </c>
      <c r="I6" s="24"/>
    </row>
    <row r="7" spans="1:9" ht="76.5">
      <c r="A7" s="102"/>
      <c r="B7" s="22"/>
      <c r="C7" s="831"/>
      <c r="D7" s="201" t="s">
        <v>291</v>
      </c>
      <c r="E7" s="201" t="s">
        <v>289</v>
      </c>
      <c r="F7" s="831"/>
      <c r="G7" s="831"/>
      <c r="H7" s="833"/>
      <c r="I7" s="24"/>
    </row>
    <row r="8" spans="1:9">
      <c r="A8" s="53">
        <v>1</v>
      </c>
      <c r="B8" s="123" t="s">
        <v>134</v>
      </c>
      <c r="C8" s="763">
        <v>351</v>
      </c>
      <c r="D8" s="764">
        <v>0</v>
      </c>
      <c r="E8" s="763">
        <v>0</v>
      </c>
      <c r="F8" s="763">
        <v>0</v>
      </c>
      <c r="G8" s="765">
        <v>0</v>
      </c>
      <c r="H8" s="207">
        <f>IFERROR(G8/(C8+E8),)</f>
        <v>0</v>
      </c>
    </row>
    <row r="9" spans="1:9" ht="15" customHeight="1">
      <c r="A9" s="53">
        <v>2</v>
      </c>
      <c r="B9" s="123" t="s">
        <v>135</v>
      </c>
      <c r="C9" s="763">
        <v>0</v>
      </c>
      <c r="D9" s="764">
        <v>0</v>
      </c>
      <c r="E9" s="763">
        <v>0</v>
      </c>
      <c r="F9" s="763">
        <v>0</v>
      </c>
      <c r="G9" s="765">
        <v>0</v>
      </c>
      <c r="H9" s="207">
        <f t="shared" ref="H9:H21" si="0">IFERROR(G9/(C9+E9),)</f>
        <v>0</v>
      </c>
    </row>
    <row r="10" spans="1:9">
      <c r="A10" s="53">
        <v>3</v>
      </c>
      <c r="B10" s="123" t="s">
        <v>136</v>
      </c>
      <c r="C10" s="763">
        <v>0</v>
      </c>
      <c r="D10" s="764">
        <v>0</v>
      </c>
      <c r="E10" s="763">
        <v>0</v>
      </c>
      <c r="F10" s="763">
        <v>0</v>
      </c>
      <c r="G10" s="765">
        <v>0</v>
      </c>
      <c r="H10" s="207">
        <f t="shared" si="0"/>
        <v>0</v>
      </c>
    </row>
    <row r="11" spans="1:9">
      <c r="A11" s="53">
        <v>4</v>
      </c>
      <c r="B11" s="123" t="s">
        <v>137</v>
      </c>
      <c r="C11" s="763">
        <v>0</v>
      </c>
      <c r="D11" s="764">
        <v>0</v>
      </c>
      <c r="E11" s="763">
        <v>0</v>
      </c>
      <c r="F11" s="763">
        <v>0</v>
      </c>
      <c r="G11" s="765">
        <v>0</v>
      </c>
      <c r="H11" s="207">
        <f t="shared" si="0"/>
        <v>0</v>
      </c>
    </row>
    <row r="12" spans="1:9">
      <c r="A12" s="53">
        <v>5</v>
      </c>
      <c r="B12" s="123" t="s">
        <v>949</v>
      </c>
      <c r="C12" s="763">
        <v>0</v>
      </c>
      <c r="D12" s="764">
        <v>0</v>
      </c>
      <c r="E12" s="763">
        <v>0</v>
      </c>
      <c r="F12" s="763">
        <v>0</v>
      </c>
      <c r="G12" s="765">
        <v>0</v>
      </c>
      <c r="H12" s="207">
        <f t="shared" si="0"/>
        <v>0</v>
      </c>
    </row>
    <row r="13" spans="1:9">
      <c r="A13" s="53">
        <v>6</v>
      </c>
      <c r="B13" s="123" t="s">
        <v>138</v>
      </c>
      <c r="C13" s="763">
        <v>6697084.4697320536</v>
      </c>
      <c r="D13" s="764">
        <v>0</v>
      </c>
      <c r="E13" s="763">
        <v>0</v>
      </c>
      <c r="F13" s="763">
        <v>1433067.4592164108</v>
      </c>
      <c r="G13" s="765">
        <v>1433067.4592164108</v>
      </c>
      <c r="H13" s="207">
        <f t="shared" si="0"/>
        <v>0.21398378140417079</v>
      </c>
    </row>
    <row r="14" spans="1:9">
      <c r="A14" s="53">
        <v>7</v>
      </c>
      <c r="B14" s="123" t="s">
        <v>71</v>
      </c>
      <c r="C14" s="763">
        <v>125058027.45291534</v>
      </c>
      <c r="D14" s="764">
        <v>2864423.1873619133</v>
      </c>
      <c r="E14" s="763">
        <v>1501846.869560357</v>
      </c>
      <c r="F14" s="764">
        <v>127077689.85371809</v>
      </c>
      <c r="G14" s="766">
        <v>125325500.48917073</v>
      </c>
      <c r="H14" s="207">
        <f t="shared" si="0"/>
        <v>0.99024672045612361</v>
      </c>
    </row>
    <row r="15" spans="1:9">
      <c r="A15" s="53">
        <v>8</v>
      </c>
      <c r="B15" s="123" t="s">
        <v>72</v>
      </c>
      <c r="C15" s="763">
        <v>0</v>
      </c>
      <c r="D15" s="764">
        <v>0</v>
      </c>
      <c r="E15" s="763">
        <v>0</v>
      </c>
      <c r="F15" s="764">
        <v>0</v>
      </c>
      <c r="G15" s="766">
        <v>0</v>
      </c>
      <c r="H15" s="207">
        <f t="shared" si="0"/>
        <v>0</v>
      </c>
    </row>
    <row r="16" spans="1:9">
      <c r="A16" s="53">
        <v>9</v>
      </c>
      <c r="B16" s="123" t="s">
        <v>950</v>
      </c>
      <c r="C16" s="763">
        <v>7561046.8368128156</v>
      </c>
      <c r="D16" s="764">
        <v>0</v>
      </c>
      <c r="E16" s="763">
        <v>0</v>
      </c>
      <c r="F16" s="764">
        <v>2646366.3928844854</v>
      </c>
      <c r="G16" s="766">
        <v>2646366.3928844854</v>
      </c>
      <c r="H16" s="207">
        <f t="shared" si="0"/>
        <v>0.35</v>
      </c>
    </row>
    <row r="17" spans="1:8">
      <c r="A17" s="53">
        <v>10</v>
      </c>
      <c r="B17" s="123" t="s">
        <v>67</v>
      </c>
      <c r="C17" s="763">
        <v>63907184.80946891</v>
      </c>
      <c r="D17" s="764">
        <v>0</v>
      </c>
      <c r="E17" s="763">
        <v>0</v>
      </c>
      <c r="F17" s="764">
        <v>75859722.782624885</v>
      </c>
      <c r="G17" s="766">
        <v>75659722.782624885</v>
      </c>
      <c r="H17" s="207">
        <f t="shared" si="0"/>
        <v>1.183900104631344</v>
      </c>
    </row>
    <row r="18" spans="1:8">
      <c r="A18" s="53">
        <v>11</v>
      </c>
      <c r="B18" s="123" t="s">
        <v>68</v>
      </c>
      <c r="C18" s="763">
        <v>0</v>
      </c>
      <c r="D18" s="764">
        <v>0</v>
      </c>
      <c r="E18" s="763">
        <v>0</v>
      </c>
      <c r="F18" s="764">
        <v>0</v>
      </c>
      <c r="G18" s="766">
        <v>0</v>
      </c>
      <c r="H18" s="207">
        <f t="shared" si="0"/>
        <v>0</v>
      </c>
    </row>
    <row r="19" spans="1:8">
      <c r="A19" s="53">
        <v>12</v>
      </c>
      <c r="B19" s="123" t="s">
        <v>69</v>
      </c>
      <c r="C19" s="763">
        <v>0</v>
      </c>
      <c r="D19" s="764">
        <v>0</v>
      </c>
      <c r="E19" s="763">
        <v>0</v>
      </c>
      <c r="F19" s="764">
        <v>0</v>
      </c>
      <c r="G19" s="766">
        <v>0</v>
      </c>
      <c r="H19" s="207">
        <f t="shared" si="0"/>
        <v>0</v>
      </c>
    </row>
    <row r="20" spans="1:8">
      <c r="A20" s="53">
        <v>13</v>
      </c>
      <c r="B20" s="123" t="s">
        <v>70</v>
      </c>
      <c r="C20" s="763">
        <v>0</v>
      </c>
      <c r="D20" s="764">
        <v>0</v>
      </c>
      <c r="E20" s="763">
        <v>0</v>
      </c>
      <c r="F20" s="764">
        <v>0</v>
      </c>
      <c r="G20" s="766">
        <v>0</v>
      </c>
      <c r="H20" s="207">
        <f t="shared" si="0"/>
        <v>0</v>
      </c>
    </row>
    <row r="21" spans="1:8">
      <c r="A21" s="53">
        <v>14</v>
      </c>
      <c r="B21" s="123" t="s">
        <v>154</v>
      </c>
      <c r="C21" s="763">
        <v>250785310.29763728</v>
      </c>
      <c r="D21" s="764">
        <v>0</v>
      </c>
      <c r="E21" s="763">
        <v>0</v>
      </c>
      <c r="F21" s="766">
        <v>104230857.2976373</v>
      </c>
      <c r="G21" s="766">
        <v>104230857.2976373</v>
      </c>
      <c r="H21" s="207">
        <f t="shared" si="0"/>
        <v>0.41561787320770072</v>
      </c>
    </row>
    <row r="22" spans="1:8" ht="13.5" thickBot="1">
      <c r="A22" s="104"/>
      <c r="B22" s="110" t="s">
        <v>66</v>
      </c>
      <c r="C22" s="186">
        <f>SUM(C8:C21)</f>
        <v>454009004.86656642</v>
      </c>
      <c r="D22" s="186">
        <f>SUM(D8:D21)</f>
        <v>2864423.1873619133</v>
      </c>
      <c r="E22" s="186">
        <f>SUM(E8:E21)</f>
        <v>1501846.869560357</v>
      </c>
      <c r="F22" s="186">
        <f>SUM(F8:F21)</f>
        <v>311247703.78608114</v>
      </c>
      <c r="G22" s="186">
        <f>SUM(G8:G21)</f>
        <v>309295514.42153382</v>
      </c>
      <c r="H22" s="208">
        <f>G22/(C22+E22)</f>
        <v>0.67900800440360498</v>
      </c>
    </row>
    <row r="23" spans="1:8">
      <c r="G23" s="716">
        <f>G22-'5. RWA'!C6</f>
        <v>0</v>
      </c>
      <c r="H23" s="716"/>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5" zoomScaleNormal="85" workbookViewId="0">
      <pane xSplit="2" ySplit="6" topLeftCell="C7"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2.75"/>
  <cols>
    <col min="1" max="1" width="10.5703125" style="233" bestFit="1" customWidth="1"/>
    <col min="2" max="2" width="104.28515625" style="233" customWidth="1"/>
    <col min="3" max="11" width="12.7109375" style="233" customWidth="1"/>
    <col min="12" max="16384" width="9.28515625" style="233"/>
  </cols>
  <sheetData>
    <row r="1" spans="1:11">
      <c r="A1" s="233" t="s">
        <v>108</v>
      </c>
      <c r="B1" s="233" t="str">
        <f>Info!C2</f>
        <v>JSC "VTB Bank (Georgia)"</v>
      </c>
    </row>
    <row r="2" spans="1:11">
      <c r="A2" s="233" t="s">
        <v>109</v>
      </c>
      <c r="B2" s="984">
        <f>Info!D2</f>
        <v>45291</v>
      </c>
      <c r="C2" s="234"/>
      <c r="D2" s="234"/>
    </row>
    <row r="3" spans="1:11">
      <c r="B3" s="234"/>
      <c r="C3" s="234"/>
      <c r="D3" s="234"/>
    </row>
    <row r="4" spans="1:11" ht="13.5" thickBot="1">
      <c r="A4" s="233" t="s">
        <v>352</v>
      </c>
      <c r="B4" s="202" t="s">
        <v>351</v>
      </c>
      <c r="C4" s="234"/>
      <c r="D4" s="234"/>
    </row>
    <row r="5" spans="1:11" ht="30" customHeight="1">
      <c r="A5" s="839"/>
      <c r="B5" s="840"/>
      <c r="C5" s="837" t="s">
        <v>384</v>
      </c>
      <c r="D5" s="837"/>
      <c r="E5" s="837"/>
      <c r="F5" s="837" t="s">
        <v>385</v>
      </c>
      <c r="G5" s="837"/>
      <c r="H5" s="837"/>
      <c r="I5" s="837" t="s">
        <v>386</v>
      </c>
      <c r="J5" s="837"/>
      <c r="K5" s="838"/>
    </row>
    <row r="6" spans="1:11">
      <c r="A6" s="231"/>
      <c r="B6" s="232"/>
      <c r="C6" s="235" t="s">
        <v>26</v>
      </c>
      <c r="D6" s="235" t="s">
        <v>90</v>
      </c>
      <c r="E6" s="235" t="s">
        <v>66</v>
      </c>
      <c r="F6" s="235" t="s">
        <v>26</v>
      </c>
      <c r="G6" s="235" t="s">
        <v>90</v>
      </c>
      <c r="H6" s="235" t="s">
        <v>66</v>
      </c>
      <c r="I6" s="235" t="s">
        <v>26</v>
      </c>
      <c r="J6" s="235" t="s">
        <v>90</v>
      </c>
      <c r="K6" s="237" t="s">
        <v>66</v>
      </c>
    </row>
    <row r="7" spans="1:11">
      <c r="A7" s="238" t="s">
        <v>322</v>
      </c>
      <c r="B7" s="230"/>
      <c r="C7" s="230"/>
      <c r="D7" s="230"/>
      <c r="E7" s="230"/>
      <c r="F7" s="230"/>
      <c r="G7" s="230"/>
      <c r="H7" s="230"/>
      <c r="I7" s="230"/>
      <c r="J7" s="230"/>
      <c r="K7" s="239"/>
    </row>
    <row r="8" spans="1:11">
      <c r="A8" s="229">
        <v>1</v>
      </c>
      <c r="B8" s="214" t="s">
        <v>322</v>
      </c>
      <c r="C8" s="968"/>
      <c r="D8" s="968"/>
      <c r="E8" s="968"/>
      <c r="F8" s="969">
        <v>81112138.292173937</v>
      </c>
      <c r="G8" s="969">
        <v>59022138.265995629</v>
      </c>
      <c r="H8" s="969">
        <v>140134276.55816954</v>
      </c>
      <c r="I8" s="969">
        <v>81112138.292173937</v>
      </c>
      <c r="J8" s="969">
        <v>59022138.265995629</v>
      </c>
      <c r="K8" s="970">
        <v>140134276.55816954</v>
      </c>
    </row>
    <row r="9" spans="1:11">
      <c r="A9" s="238" t="s">
        <v>323</v>
      </c>
      <c r="B9" s="230"/>
      <c r="C9" s="971"/>
      <c r="D9" s="971"/>
      <c r="E9" s="971"/>
      <c r="F9" s="971"/>
      <c r="G9" s="971"/>
      <c r="H9" s="971"/>
      <c r="I9" s="971"/>
      <c r="J9" s="971"/>
      <c r="K9" s="972"/>
    </row>
    <row r="10" spans="1:11">
      <c r="A10" s="240">
        <v>2</v>
      </c>
      <c r="B10" s="215" t="s">
        <v>324</v>
      </c>
      <c r="C10" s="374">
        <v>3474447.0100000002</v>
      </c>
      <c r="D10" s="973">
        <v>456610.10358695668</v>
      </c>
      <c r="E10" s="973">
        <v>3931057.1135869571</v>
      </c>
      <c r="F10" s="973">
        <v>642982.95857391309</v>
      </c>
      <c r="G10" s="973">
        <v>113546.44084184781</v>
      </c>
      <c r="H10" s="973">
        <v>756529.39941576158</v>
      </c>
      <c r="I10" s="973">
        <v>160008.736</v>
      </c>
      <c r="J10" s="973">
        <v>13167.824461956514</v>
      </c>
      <c r="K10" s="974">
        <v>173176.56046195648</v>
      </c>
    </row>
    <row r="11" spans="1:11">
      <c r="A11" s="240">
        <v>3</v>
      </c>
      <c r="B11" s="215" t="s">
        <v>325</v>
      </c>
      <c r="C11" s="374">
        <v>13499224.374456631</v>
      </c>
      <c r="D11" s="973">
        <v>79490853.097826064</v>
      </c>
      <c r="E11" s="973">
        <v>92990077.472282693</v>
      </c>
      <c r="F11" s="973">
        <v>8037558.0767172333</v>
      </c>
      <c r="G11" s="973">
        <v>368704.1661576085</v>
      </c>
      <c r="H11" s="973">
        <v>8406262.2428748291</v>
      </c>
      <c r="I11" s="973">
        <v>4306064.4214837383</v>
      </c>
      <c r="J11" s="973">
        <v>355269.92361956538</v>
      </c>
      <c r="K11" s="974">
        <v>4661334.3451033086</v>
      </c>
    </row>
    <row r="12" spans="1:11">
      <c r="A12" s="240">
        <v>4</v>
      </c>
      <c r="B12" s="215" t="s">
        <v>326</v>
      </c>
      <c r="C12" s="374">
        <v>0</v>
      </c>
      <c r="D12" s="973">
        <v>0</v>
      </c>
      <c r="E12" s="973">
        <v>0</v>
      </c>
      <c r="F12" s="973">
        <v>0</v>
      </c>
      <c r="G12" s="973">
        <v>0</v>
      </c>
      <c r="H12" s="973">
        <v>0</v>
      </c>
      <c r="I12" s="973">
        <v>0</v>
      </c>
      <c r="J12" s="973">
        <v>0</v>
      </c>
      <c r="K12" s="974">
        <v>0</v>
      </c>
    </row>
    <row r="13" spans="1:11">
      <c r="A13" s="240">
        <v>5</v>
      </c>
      <c r="B13" s="215" t="s">
        <v>327</v>
      </c>
      <c r="C13" s="374">
        <v>16037018.314782621</v>
      </c>
      <c r="D13" s="973">
        <v>2823999.2715773941</v>
      </c>
      <c r="E13" s="973">
        <v>18861017.586360011</v>
      </c>
      <c r="F13" s="973">
        <v>6077741.4903923841</v>
      </c>
      <c r="G13" s="973">
        <v>1122837.6235345791</v>
      </c>
      <c r="H13" s="973">
        <v>7200579.1139269676</v>
      </c>
      <c r="I13" s="973">
        <v>1459803.9374999986</v>
      </c>
      <c r="J13" s="973">
        <v>281620.23707784247</v>
      </c>
      <c r="K13" s="974">
        <v>1741424.1745778422</v>
      </c>
    </row>
    <row r="14" spans="1:11">
      <c r="A14" s="240">
        <v>6</v>
      </c>
      <c r="B14" s="215" t="s">
        <v>342</v>
      </c>
      <c r="C14" s="374">
        <v>0</v>
      </c>
      <c r="D14" s="973">
        <v>0</v>
      </c>
      <c r="E14" s="973">
        <v>0</v>
      </c>
      <c r="F14" s="973">
        <v>0</v>
      </c>
      <c r="G14" s="973">
        <v>0</v>
      </c>
      <c r="H14" s="973">
        <v>0</v>
      </c>
      <c r="I14" s="973">
        <v>0</v>
      </c>
      <c r="J14" s="973">
        <v>0</v>
      </c>
      <c r="K14" s="974">
        <v>0</v>
      </c>
    </row>
    <row r="15" spans="1:11">
      <c r="A15" s="240">
        <v>7</v>
      </c>
      <c r="B15" s="215" t="s">
        <v>329</v>
      </c>
      <c r="C15" s="374">
        <v>2765188.4477173905</v>
      </c>
      <c r="D15" s="973">
        <v>27388162.021833695</v>
      </c>
      <c r="E15" s="973">
        <v>30153350.46955109</v>
      </c>
      <c r="F15" s="973">
        <v>382562.79206521733</v>
      </c>
      <c r="G15" s="973">
        <v>14094871.926690213</v>
      </c>
      <c r="H15" s="973">
        <v>14477434.718755426</v>
      </c>
      <c r="I15" s="973">
        <v>382562.79206521733</v>
      </c>
      <c r="J15" s="973">
        <v>14094871.926690213</v>
      </c>
      <c r="K15" s="974">
        <v>14477434.718755426</v>
      </c>
    </row>
    <row r="16" spans="1:11">
      <c r="A16" s="240">
        <v>8</v>
      </c>
      <c r="B16" s="216" t="s">
        <v>330</v>
      </c>
      <c r="C16" s="374">
        <v>35775878.146956638</v>
      </c>
      <c r="D16" s="973">
        <v>110159624.49482419</v>
      </c>
      <c r="E16" s="973">
        <v>145935502.64178082</v>
      </c>
      <c r="F16" s="973">
        <v>15140845.317748731</v>
      </c>
      <c r="G16" s="973">
        <v>15699960.157224253</v>
      </c>
      <c r="H16" s="973">
        <v>30840805.474973027</v>
      </c>
      <c r="I16" s="973">
        <v>6308439.8870489588</v>
      </c>
      <c r="J16" s="973">
        <v>14744929.911849579</v>
      </c>
      <c r="K16" s="974">
        <v>21053369.79889854</v>
      </c>
    </row>
    <row r="17" spans="1:11">
      <c r="A17" s="238" t="s">
        <v>331</v>
      </c>
      <c r="B17" s="230"/>
      <c r="C17" s="971"/>
      <c r="D17" s="971"/>
      <c r="E17" s="971"/>
      <c r="F17" s="971"/>
      <c r="G17" s="971"/>
      <c r="H17" s="971"/>
      <c r="I17" s="971"/>
      <c r="J17" s="971"/>
      <c r="K17" s="972"/>
    </row>
    <row r="18" spans="1:11">
      <c r="A18" s="240">
        <v>9</v>
      </c>
      <c r="B18" s="215" t="s">
        <v>332</v>
      </c>
      <c r="C18" s="374">
        <v>0</v>
      </c>
      <c r="D18" s="973">
        <v>0</v>
      </c>
      <c r="E18" s="973">
        <v>0</v>
      </c>
      <c r="F18" s="973">
        <v>0</v>
      </c>
      <c r="G18" s="973">
        <v>0</v>
      </c>
      <c r="H18" s="973">
        <v>0</v>
      </c>
      <c r="I18" s="973">
        <v>0</v>
      </c>
      <c r="J18" s="973">
        <v>0</v>
      </c>
      <c r="K18" s="974">
        <v>0</v>
      </c>
    </row>
    <row r="19" spans="1:11">
      <c r="A19" s="240">
        <v>10</v>
      </c>
      <c r="B19" s="215" t="s">
        <v>333</v>
      </c>
      <c r="C19" s="374">
        <v>51115808.551502995</v>
      </c>
      <c r="D19" s="973">
        <v>61855099.18231044</v>
      </c>
      <c r="E19" s="973">
        <v>112970907.73381349</v>
      </c>
      <c r="F19" s="973">
        <v>399354.01169384649</v>
      </c>
      <c r="G19" s="973">
        <v>340627.04705341562</v>
      </c>
      <c r="H19" s="973">
        <v>739981.05874726258</v>
      </c>
      <c r="I19" s="973">
        <v>399354.01169384649</v>
      </c>
      <c r="J19" s="973">
        <v>340627.04705341562</v>
      </c>
      <c r="K19" s="974">
        <v>739981.05874726258</v>
      </c>
    </row>
    <row r="20" spans="1:11">
      <c r="A20" s="240">
        <v>11</v>
      </c>
      <c r="B20" s="215" t="s">
        <v>334</v>
      </c>
      <c r="C20" s="374">
        <v>13387779.718527177</v>
      </c>
      <c r="D20" s="973">
        <v>3342137.714064131</v>
      </c>
      <c r="E20" s="973">
        <v>16729917.432591313</v>
      </c>
      <c r="F20" s="973">
        <v>0</v>
      </c>
      <c r="G20" s="973">
        <v>0</v>
      </c>
      <c r="H20" s="973">
        <v>0</v>
      </c>
      <c r="I20" s="973">
        <v>0</v>
      </c>
      <c r="J20" s="973">
        <v>0</v>
      </c>
      <c r="K20" s="974">
        <v>0</v>
      </c>
    </row>
    <row r="21" spans="1:11" ht="13.5" thickBot="1">
      <c r="A21" s="156">
        <v>12</v>
      </c>
      <c r="B21" s="241" t="s">
        <v>335</v>
      </c>
      <c r="C21" s="975">
        <v>64503588.270030163</v>
      </c>
      <c r="D21" s="976">
        <v>65197236.896374568</v>
      </c>
      <c r="E21" s="975">
        <v>129700825.16640474</v>
      </c>
      <c r="F21" s="976">
        <v>399354.01169384649</v>
      </c>
      <c r="G21" s="976">
        <v>340627.04705341562</v>
      </c>
      <c r="H21" s="976">
        <v>739981.05874726258</v>
      </c>
      <c r="I21" s="976">
        <v>399354.01169384649</v>
      </c>
      <c r="J21" s="976">
        <v>340627.04705341562</v>
      </c>
      <c r="K21" s="977">
        <v>739981.05874726258</v>
      </c>
    </row>
    <row r="22" spans="1:11" ht="38.25" customHeight="1" thickBot="1">
      <c r="A22" s="227"/>
      <c r="B22" s="228"/>
      <c r="C22" s="228"/>
      <c r="D22" s="228"/>
      <c r="E22" s="228"/>
      <c r="F22" s="836" t="s">
        <v>336</v>
      </c>
      <c r="G22" s="837"/>
      <c r="H22" s="837"/>
      <c r="I22" s="836" t="s">
        <v>337</v>
      </c>
      <c r="J22" s="837"/>
      <c r="K22" s="838"/>
    </row>
    <row r="23" spans="1:11">
      <c r="A23" s="220">
        <v>13</v>
      </c>
      <c r="B23" s="217" t="s">
        <v>322</v>
      </c>
      <c r="C23" s="226"/>
      <c r="D23" s="226"/>
      <c r="E23" s="226"/>
      <c r="F23" s="978">
        <v>81112138.292173937</v>
      </c>
      <c r="G23" s="978">
        <v>59022138.265995629</v>
      </c>
      <c r="H23" s="978">
        <v>140134276.55816954</v>
      </c>
      <c r="I23" s="978">
        <v>81112138.292173937</v>
      </c>
      <c r="J23" s="978">
        <v>59022138.265995629</v>
      </c>
      <c r="K23" s="979">
        <v>140134276.55816954</v>
      </c>
    </row>
    <row r="24" spans="1:11" ht="13.5" thickBot="1">
      <c r="A24" s="221">
        <v>14</v>
      </c>
      <c r="B24" s="218" t="s">
        <v>338</v>
      </c>
      <c r="C24" s="242"/>
      <c r="D24" s="224"/>
      <c r="E24" s="225"/>
      <c r="F24" s="980">
        <v>14741491.306054885</v>
      </c>
      <c r="G24" s="980">
        <v>15359333.110170837</v>
      </c>
      <c r="H24" s="980">
        <v>30100824.416225765</v>
      </c>
      <c r="I24" s="980">
        <v>5909085.8753551124</v>
      </c>
      <c r="J24" s="980">
        <v>14404302.864796164</v>
      </c>
      <c r="K24" s="981">
        <v>20313388.740151279</v>
      </c>
    </row>
    <row r="25" spans="1:11" ht="13.5" thickBot="1">
      <c r="A25" s="222">
        <v>15</v>
      </c>
      <c r="B25" s="219" t="s">
        <v>339</v>
      </c>
      <c r="C25" s="223"/>
      <c r="D25" s="223"/>
      <c r="E25" s="223"/>
      <c r="F25" s="982">
        <v>5.5023020811237826</v>
      </c>
      <c r="G25" s="982">
        <v>3.8427539687196188</v>
      </c>
      <c r="H25" s="982">
        <v>4.6554962953981605</v>
      </c>
      <c r="I25" s="982">
        <v>13.726681250388737</v>
      </c>
      <c r="J25" s="982">
        <v>4.0975352170804866</v>
      </c>
      <c r="K25" s="983">
        <v>6.8986163929005739</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85" zoomScaleNormal="85" workbookViewId="0">
      <pane xSplit="1" ySplit="5" topLeftCell="B9"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5"/>
  <cols>
    <col min="1" max="1" width="10.5703125" style="38" bestFit="1" customWidth="1"/>
    <col min="2" max="2" width="95" style="38" customWidth="1"/>
    <col min="3" max="3" width="12.5703125" style="38" bestFit="1" customWidth="1"/>
    <col min="4" max="4" width="10" style="38" bestFit="1" customWidth="1"/>
    <col min="5" max="5" width="18.28515625" style="38" bestFit="1" customWidth="1"/>
    <col min="6" max="13" width="10.7109375" style="38" customWidth="1"/>
    <col min="14" max="14" width="31" style="38" bestFit="1" customWidth="1"/>
    <col min="15" max="16384" width="9.28515625" style="12"/>
  </cols>
  <sheetData>
    <row r="1" spans="1:14">
      <c r="A1" s="5" t="s">
        <v>108</v>
      </c>
      <c r="B1" s="38" t="str">
        <f>Info!C2</f>
        <v>JSC "VTB Bank (Georgia)"</v>
      </c>
    </row>
    <row r="2" spans="1:14" ht="14.25" customHeight="1">
      <c r="A2" s="38" t="s">
        <v>109</v>
      </c>
      <c r="B2" s="347">
        <f>Info!D2</f>
        <v>45291</v>
      </c>
    </row>
    <row r="3" spans="1:14" ht="14.25" customHeight="1"/>
    <row r="4" spans="1:14" ht="15.75" thickBot="1">
      <c r="A4" s="2" t="s">
        <v>262</v>
      </c>
      <c r="B4" s="55" t="s">
        <v>74</v>
      </c>
    </row>
    <row r="5" spans="1:14" s="25" customFormat="1" ht="12.75">
      <c r="A5" s="119"/>
      <c r="B5" s="120"/>
      <c r="C5" s="121" t="s">
        <v>0</v>
      </c>
      <c r="D5" s="121" t="s">
        <v>1</v>
      </c>
      <c r="E5" s="121" t="s">
        <v>2</v>
      </c>
      <c r="F5" s="121" t="s">
        <v>3</v>
      </c>
      <c r="G5" s="121" t="s">
        <v>4</v>
      </c>
      <c r="H5" s="121" t="s">
        <v>5</v>
      </c>
      <c r="I5" s="121" t="s">
        <v>145</v>
      </c>
      <c r="J5" s="121" t="s">
        <v>146</v>
      </c>
      <c r="K5" s="121" t="s">
        <v>147</v>
      </c>
      <c r="L5" s="121" t="s">
        <v>148</v>
      </c>
      <c r="M5" s="121" t="s">
        <v>149</v>
      </c>
      <c r="N5" s="122" t="s">
        <v>150</v>
      </c>
    </row>
    <row r="6" spans="1:14" ht="45">
      <c r="A6" s="111"/>
      <c r="B6" s="67"/>
      <c r="C6" s="68" t="s">
        <v>84</v>
      </c>
      <c r="D6" s="69" t="s">
        <v>73</v>
      </c>
      <c r="E6" s="70" t="s">
        <v>83</v>
      </c>
      <c r="F6" s="71">
        <v>0</v>
      </c>
      <c r="G6" s="71">
        <v>0.2</v>
      </c>
      <c r="H6" s="71">
        <v>0.35</v>
      </c>
      <c r="I6" s="71">
        <v>0.5</v>
      </c>
      <c r="J6" s="71">
        <v>0.75</v>
      </c>
      <c r="K6" s="71">
        <v>1</v>
      </c>
      <c r="L6" s="71">
        <v>1.5</v>
      </c>
      <c r="M6" s="71">
        <v>2.5</v>
      </c>
      <c r="N6" s="112" t="s">
        <v>74</v>
      </c>
    </row>
    <row r="7" spans="1:14">
      <c r="A7" s="113">
        <v>1</v>
      </c>
      <c r="B7" s="72" t="s">
        <v>75</v>
      </c>
      <c r="C7" s="191">
        <f>SUM(C8:C13)</f>
        <v>0</v>
      </c>
      <c r="D7" s="67"/>
      <c r="E7" s="194">
        <f t="shared" ref="E7:M7" si="0">SUM(E8:E13)</f>
        <v>0</v>
      </c>
      <c r="F7" s="191">
        <f>SUM(F8:F13)</f>
        <v>0</v>
      </c>
      <c r="G7" s="191">
        <f t="shared" si="0"/>
        <v>0</v>
      </c>
      <c r="H7" s="191">
        <f t="shared" si="0"/>
        <v>0</v>
      </c>
      <c r="I7" s="191">
        <f t="shared" si="0"/>
        <v>0</v>
      </c>
      <c r="J7" s="191">
        <f t="shared" si="0"/>
        <v>0</v>
      </c>
      <c r="K7" s="191">
        <f t="shared" si="0"/>
        <v>0</v>
      </c>
      <c r="L7" s="191">
        <f t="shared" si="0"/>
        <v>0</v>
      </c>
      <c r="M7" s="191">
        <f t="shared" si="0"/>
        <v>0</v>
      </c>
      <c r="N7" s="114">
        <f>SUM(N8:N13)</f>
        <v>0</v>
      </c>
    </row>
    <row r="8" spans="1:14">
      <c r="A8" s="113">
        <v>1.1000000000000001</v>
      </c>
      <c r="B8" s="73" t="s">
        <v>76</v>
      </c>
      <c r="C8" s="192">
        <v>0</v>
      </c>
      <c r="D8" s="74">
        <v>0.02</v>
      </c>
      <c r="E8" s="194">
        <f>C8*D8</f>
        <v>0</v>
      </c>
      <c r="F8" s="192"/>
      <c r="G8" s="192"/>
      <c r="H8" s="192"/>
      <c r="I8" s="192"/>
      <c r="J8" s="192"/>
      <c r="K8" s="192"/>
      <c r="L8" s="192"/>
      <c r="M8" s="192"/>
      <c r="N8" s="114">
        <f>SUMPRODUCT($F$6:$M$6,F8:M8)</f>
        <v>0</v>
      </c>
    </row>
    <row r="9" spans="1:14">
      <c r="A9" s="113">
        <v>1.2</v>
      </c>
      <c r="B9" s="73" t="s">
        <v>77</v>
      </c>
      <c r="C9" s="192">
        <v>0</v>
      </c>
      <c r="D9" s="74">
        <v>0.05</v>
      </c>
      <c r="E9" s="194">
        <f>C9*D9</f>
        <v>0</v>
      </c>
      <c r="F9" s="192"/>
      <c r="G9" s="192"/>
      <c r="H9" s="192"/>
      <c r="I9" s="192"/>
      <c r="J9" s="192"/>
      <c r="K9" s="192"/>
      <c r="L9" s="192"/>
      <c r="M9" s="192"/>
      <c r="N9" s="114">
        <f t="shared" ref="N9:N12" si="1">SUMPRODUCT($F$6:$M$6,F9:M9)</f>
        <v>0</v>
      </c>
    </row>
    <row r="10" spans="1:14">
      <c r="A10" s="113">
        <v>1.3</v>
      </c>
      <c r="B10" s="73" t="s">
        <v>78</v>
      </c>
      <c r="C10" s="192">
        <v>0</v>
      </c>
      <c r="D10" s="74">
        <v>0.08</v>
      </c>
      <c r="E10" s="194">
        <f>C10*D10</f>
        <v>0</v>
      </c>
      <c r="F10" s="192"/>
      <c r="G10" s="192"/>
      <c r="H10" s="192"/>
      <c r="I10" s="192"/>
      <c r="J10" s="192"/>
      <c r="K10" s="192"/>
      <c r="L10" s="192"/>
      <c r="M10" s="192"/>
      <c r="N10" s="114">
        <f>SUMPRODUCT($F$6:$M$6,F10:M10)</f>
        <v>0</v>
      </c>
    </row>
    <row r="11" spans="1:14">
      <c r="A11" s="113">
        <v>1.4</v>
      </c>
      <c r="B11" s="73" t="s">
        <v>79</v>
      </c>
      <c r="C11" s="192">
        <v>0</v>
      </c>
      <c r="D11" s="74">
        <v>0.11</v>
      </c>
      <c r="E11" s="194">
        <f>C11*D11</f>
        <v>0</v>
      </c>
      <c r="F11" s="192"/>
      <c r="G11" s="192"/>
      <c r="H11" s="192"/>
      <c r="I11" s="192"/>
      <c r="J11" s="192"/>
      <c r="K11" s="192"/>
      <c r="L11" s="192"/>
      <c r="M11" s="192"/>
      <c r="N11" s="114">
        <f t="shared" si="1"/>
        <v>0</v>
      </c>
    </row>
    <row r="12" spans="1:14">
      <c r="A12" s="113">
        <v>1.5</v>
      </c>
      <c r="B12" s="73" t="s">
        <v>80</v>
      </c>
      <c r="C12" s="192">
        <v>0</v>
      </c>
      <c r="D12" s="74">
        <v>0.14000000000000001</v>
      </c>
      <c r="E12" s="194">
        <f>C12*D12</f>
        <v>0</v>
      </c>
      <c r="F12" s="192"/>
      <c r="G12" s="192"/>
      <c r="H12" s="192"/>
      <c r="I12" s="192"/>
      <c r="J12" s="192"/>
      <c r="K12" s="192"/>
      <c r="L12" s="192"/>
      <c r="M12" s="192"/>
      <c r="N12" s="114">
        <f t="shared" si="1"/>
        <v>0</v>
      </c>
    </row>
    <row r="13" spans="1:14">
      <c r="A13" s="113">
        <v>1.6</v>
      </c>
      <c r="B13" s="75" t="s">
        <v>81</v>
      </c>
      <c r="C13" s="192">
        <v>0</v>
      </c>
      <c r="D13" s="76"/>
      <c r="E13" s="192"/>
      <c r="F13" s="192"/>
      <c r="G13" s="192"/>
      <c r="H13" s="192"/>
      <c r="I13" s="192"/>
      <c r="J13" s="192"/>
      <c r="K13" s="192"/>
      <c r="L13" s="192"/>
      <c r="M13" s="192"/>
      <c r="N13" s="114">
        <f>SUMPRODUCT($F$6:$M$6,F13:M13)</f>
        <v>0</v>
      </c>
    </row>
    <row r="14" spans="1:14">
      <c r="A14" s="113">
        <v>2</v>
      </c>
      <c r="B14" s="77" t="s">
        <v>82</v>
      </c>
      <c r="C14" s="191">
        <f>SUM(C15:C20)</f>
        <v>0</v>
      </c>
      <c r="D14" s="67"/>
      <c r="E14" s="194">
        <f t="shared" ref="E14:M14" si="2">SUM(E15:E20)</f>
        <v>0</v>
      </c>
      <c r="F14" s="192">
        <f t="shared" si="2"/>
        <v>0</v>
      </c>
      <c r="G14" s="192">
        <f t="shared" si="2"/>
        <v>0</v>
      </c>
      <c r="H14" s="192">
        <f t="shared" si="2"/>
        <v>0</v>
      </c>
      <c r="I14" s="192">
        <f t="shared" si="2"/>
        <v>0</v>
      </c>
      <c r="J14" s="192">
        <f t="shared" si="2"/>
        <v>0</v>
      </c>
      <c r="K14" s="192">
        <f t="shared" si="2"/>
        <v>0</v>
      </c>
      <c r="L14" s="192">
        <f t="shared" si="2"/>
        <v>0</v>
      </c>
      <c r="M14" s="192">
        <f t="shared" si="2"/>
        <v>0</v>
      </c>
      <c r="N14" s="114">
        <f>SUM(N15:N20)</f>
        <v>0</v>
      </c>
    </row>
    <row r="15" spans="1:14">
      <c r="A15" s="113">
        <v>2.1</v>
      </c>
      <c r="B15" s="75" t="s">
        <v>76</v>
      </c>
      <c r="C15" s="192"/>
      <c r="D15" s="74">
        <v>5.0000000000000001E-3</v>
      </c>
      <c r="E15" s="194">
        <f>C15*D15</f>
        <v>0</v>
      </c>
      <c r="F15" s="192"/>
      <c r="G15" s="192"/>
      <c r="H15" s="192"/>
      <c r="I15" s="192"/>
      <c r="J15" s="192"/>
      <c r="K15" s="192"/>
      <c r="L15" s="192"/>
      <c r="M15" s="192"/>
      <c r="N15" s="114">
        <f>SUMPRODUCT($F$6:$M$6,F15:M15)</f>
        <v>0</v>
      </c>
    </row>
    <row r="16" spans="1:14">
      <c r="A16" s="113">
        <v>2.2000000000000002</v>
      </c>
      <c r="B16" s="75" t="s">
        <v>77</v>
      </c>
      <c r="C16" s="192"/>
      <c r="D16" s="74">
        <v>0.01</v>
      </c>
      <c r="E16" s="194">
        <f>C16*D16</f>
        <v>0</v>
      </c>
      <c r="F16" s="192"/>
      <c r="G16" s="192"/>
      <c r="H16" s="192"/>
      <c r="I16" s="192"/>
      <c r="J16" s="192"/>
      <c r="K16" s="192"/>
      <c r="L16" s="192"/>
      <c r="M16" s="192"/>
      <c r="N16" s="114">
        <f t="shared" ref="N16:N20" si="3">SUMPRODUCT($F$6:$M$6,F16:M16)</f>
        <v>0</v>
      </c>
    </row>
    <row r="17" spans="1:14">
      <c r="A17" s="113">
        <v>2.2999999999999998</v>
      </c>
      <c r="B17" s="75" t="s">
        <v>78</v>
      </c>
      <c r="C17" s="192"/>
      <c r="D17" s="74">
        <v>0.02</v>
      </c>
      <c r="E17" s="194">
        <f>C17*D17</f>
        <v>0</v>
      </c>
      <c r="F17" s="192"/>
      <c r="G17" s="192"/>
      <c r="H17" s="192"/>
      <c r="I17" s="192"/>
      <c r="J17" s="192"/>
      <c r="K17" s="192"/>
      <c r="L17" s="192"/>
      <c r="M17" s="192"/>
      <c r="N17" s="114">
        <f t="shared" si="3"/>
        <v>0</v>
      </c>
    </row>
    <row r="18" spans="1:14">
      <c r="A18" s="113">
        <v>2.4</v>
      </c>
      <c r="B18" s="75" t="s">
        <v>79</v>
      </c>
      <c r="C18" s="192"/>
      <c r="D18" s="74">
        <v>0.03</v>
      </c>
      <c r="E18" s="194">
        <f>C18*D18</f>
        <v>0</v>
      </c>
      <c r="F18" s="192"/>
      <c r="G18" s="192"/>
      <c r="H18" s="192"/>
      <c r="I18" s="192"/>
      <c r="J18" s="192"/>
      <c r="K18" s="192"/>
      <c r="L18" s="192"/>
      <c r="M18" s="192"/>
      <c r="N18" s="114">
        <f t="shared" si="3"/>
        <v>0</v>
      </c>
    </row>
    <row r="19" spans="1:14">
      <c r="A19" s="113">
        <v>2.5</v>
      </c>
      <c r="B19" s="75" t="s">
        <v>80</v>
      </c>
      <c r="C19" s="192"/>
      <c r="D19" s="74">
        <v>0.04</v>
      </c>
      <c r="E19" s="194">
        <f>C19*D19</f>
        <v>0</v>
      </c>
      <c r="F19" s="192"/>
      <c r="G19" s="192"/>
      <c r="H19" s="192"/>
      <c r="I19" s="192"/>
      <c r="J19" s="192"/>
      <c r="K19" s="192"/>
      <c r="L19" s="192"/>
      <c r="M19" s="192"/>
      <c r="N19" s="114">
        <f t="shared" si="3"/>
        <v>0</v>
      </c>
    </row>
    <row r="20" spans="1:14">
      <c r="A20" s="113">
        <v>2.6</v>
      </c>
      <c r="B20" s="75" t="s">
        <v>81</v>
      </c>
      <c r="C20" s="192"/>
      <c r="D20" s="76"/>
      <c r="E20" s="195"/>
      <c r="F20" s="192"/>
      <c r="G20" s="192"/>
      <c r="H20" s="192"/>
      <c r="I20" s="192"/>
      <c r="J20" s="192"/>
      <c r="K20" s="192"/>
      <c r="L20" s="192"/>
      <c r="M20" s="192"/>
      <c r="N20" s="114">
        <f t="shared" si="3"/>
        <v>0</v>
      </c>
    </row>
    <row r="21" spans="1:14" ht="15.75" thickBot="1">
      <c r="A21" s="115">
        <v>3</v>
      </c>
      <c r="B21" s="116" t="s">
        <v>66</v>
      </c>
      <c r="C21" s="193">
        <f>C14+C7</f>
        <v>0</v>
      </c>
      <c r="D21" s="117"/>
      <c r="E21" s="196">
        <f>E14+E7</f>
        <v>0</v>
      </c>
      <c r="F21" s="197">
        <f>F7+F14</f>
        <v>0</v>
      </c>
      <c r="G21" s="197">
        <f t="shared" ref="G21:L21" si="4">G7+G14</f>
        <v>0</v>
      </c>
      <c r="H21" s="197">
        <f t="shared" si="4"/>
        <v>0</v>
      </c>
      <c r="I21" s="197">
        <f t="shared" si="4"/>
        <v>0</v>
      </c>
      <c r="J21" s="197">
        <f t="shared" si="4"/>
        <v>0</v>
      </c>
      <c r="K21" s="197">
        <f t="shared" si="4"/>
        <v>0</v>
      </c>
      <c r="L21" s="197">
        <f t="shared" si="4"/>
        <v>0</v>
      </c>
      <c r="M21" s="197">
        <f>M7+M14</f>
        <v>0</v>
      </c>
      <c r="N21" s="118">
        <f>N14+N7</f>
        <v>0</v>
      </c>
    </row>
    <row r="22" spans="1:14">
      <c r="E22" s="198"/>
      <c r="F22" s="198"/>
      <c r="G22" s="198"/>
      <c r="H22" s="198"/>
      <c r="I22" s="198"/>
      <c r="J22" s="198"/>
      <c r="K22" s="198"/>
      <c r="L22" s="198"/>
      <c r="M22" s="198"/>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4" zoomScale="55" zoomScaleNormal="55" workbookViewId="0">
      <selection activeCell="C7" sqref="C6:C7"/>
    </sheetView>
  </sheetViews>
  <sheetFormatPr defaultRowHeight="15"/>
  <cols>
    <col min="1" max="1" width="11.42578125" customWidth="1"/>
    <col min="2" max="2" width="76.7109375" style="4" customWidth="1"/>
    <col min="3" max="3" width="22.7109375" customWidth="1"/>
  </cols>
  <sheetData>
    <row r="1" spans="1:3">
      <c r="A1" s="233" t="s">
        <v>108</v>
      </c>
      <c r="B1" t="str">
        <f>Info!C2</f>
        <v>JSC "VTB Bank (Georgia)"</v>
      </c>
    </row>
    <row r="2" spans="1:3">
      <c r="A2" s="233" t="s">
        <v>109</v>
      </c>
      <c r="B2" s="347">
        <f>Info!D2</f>
        <v>45291</v>
      </c>
    </row>
    <row r="3" spans="1:3">
      <c r="A3" s="233"/>
      <c r="B3"/>
    </row>
    <row r="4" spans="1:3">
      <c r="A4" s="233" t="s">
        <v>428</v>
      </c>
      <c r="B4" t="s">
        <v>387</v>
      </c>
    </row>
    <row r="5" spans="1:3">
      <c r="A5" s="284"/>
      <c r="B5" s="284" t="s">
        <v>388</v>
      </c>
      <c r="C5" s="296"/>
    </row>
    <row r="6" spans="1:3">
      <c r="A6" s="285">
        <v>1</v>
      </c>
      <c r="B6" s="297" t="s">
        <v>440</v>
      </c>
      <c r="C6" s="767">
        <v>455236251.85656643</v>
      </c>
    </row>
    <row r="7" spans="1:3">
      <c r="A7" s="285">
        <v>2</v>
      </c>
      <c r="B7" s="297" t="s">
        <v>389</v>
      </c>
      <c r="C7" s="767">
        <v>-12795337.619999999</v>
      </c>
    </row>
    <row r="8" spans="1:3">
      <c r="A8" s="286">
        <v>3</v>
      </c>
      <c r="B8" s="299" t="s">
        <v>390</v>
      </c>
      <c r="C8" s="300">
        <f>C6+C7</f>
        <v>442440914.23656642</v>
      </c>
    </row>
    <row r="9" spans="1:3">
      <c r="A9" s="287"/>
      <c r="B9" s="287" t="s">
        <v>391</v>
      </c>
      <c r="C9" s="301"/>
    </row>
    <row r="10" spans="1:3">
      <c r="A10" s="288">
        <v>4</v>
      </c>
      <c r="B10" s="302" t="s">
        <v>392</v>
      </c>
      <c r="C10" s="298"/>
    </row>
    <row r="11" spans="1:3">
      <c r="A11" s="288">
        <v>5</v>
      </c>
      <c r="B11" s="303" t="s">
        <v>393</v>
      </c>
      <c r="C11" s="298"/>
    </row>
    <row r="12" spans="1:3">
      <c r="A12" s="288" t="s">
        <v>394</v>
      </c>
      <c r="B12" s="297" t="s">
        <v>395</v>
      </c>
      <c r="C12" s="300">
        <f>'15. CCR'!E21</f>
        <v>0</v>
      </c>
    </row>
    <row r="13" spans="1:3">
      <c r="A13" s="289">
        <v>6</v>
      </c>
      <c r="B13" s="304" t="s">
        <v>396</v>
      </c>
      <c r="C13" s="298"/>
    </row>
    <row r="14" spans="1:3">
      <c r="A14" s="289">
        <v>7</v>
      </c>
      <c r="B14" s="305" t="s">
        <v>397</v>
      </c>
      <c r="C14" s="298"/>
    </row>
    <row r="15" spans="1:3">
      <c r="A15" s="290">
        <v>8</v>
      </c>
      <c r="B15" s="297" t="s">
        <v>398</v>
      </c>
      <c r="C15" s="298"/>
    </row>
    <row r="16" spans="1:3" ht="24">
      <c r="A16" s="289">
        <v>9</v>
      </c>
      <c r="B16" s="305" t="s">
        <v>399</v>
      </c>
      <c r="C16" s="298"/>
    </row>
    <row r="17" spans="1:3">
      <c r="A17" s="289">
        <v>10</v>
      </c>
      <c r="B17" s="305" t="s">
        <v>400</v>
      </c>
      <c r="C17" s="298"/>
    </row>
    <row r="18" spans="1:3">
      <c r="A18" s="291">
        <v>11</v>
      </c>
      <c r="B18" s="306" t="s">
        <v>401</v>
      </c>
      <c r="C18" s="300">
        <f>SUM(C10:C17)</f>
        <v>0</v>
      </c>
    </row>
    <row r="19" spans="1:3">
      <c r="A19" s="287"/>
      <c r="B19" s="287" t="s">
        <v>402</v>
      </c>
      <c r="C19" s="307"/>
    </row>
    <row r="20" spans="1:3">
      <c r="A20" s="289">
        <v>12</v>
      </c>
      <c r="B20" s="302" t="s">
        <v>403</v>
      </c>
      <c r="C20" s="298"/>
    </row>
    <row r="21" spans="1:3">
      <c r="A21" s="289">
        <v>13</v>
      </c>
      <c r="B21" s="302" t="s">
        <v>404</v>
      </c>
      <c r="C21" s="298"/>
    </row>
    <row r="22" spans="1:3">
      <c r="A22" s="289">
        <v>14</v>
      </c>
      <c r="B22" s="302" t="s">
        <v>405</v>
      </c>
      <c r="C22" s="298"/>
    </row>
    <row r="23" spans="1:3" ht="24">
      <c r="A23" s="289" t="s">
        <v>406</v>
      </c>
      <c r="B23" s="302" t="s">
        <v>407</v>
      </c>
      <c r="C23" s="298"/>
    </row>
    <row r="24" spans="1:3">
      <c r="A24" s="289">
        <v>15</v>
      </c>
      <c r="B24" s="302" t="s">
        <v>408</v>
      </c>
      <c r="C24" s="298"/>
    </row>
    <row r="25" spans="1:3">
      <c r="A25" s="289" t="s">
        <v>409</v>
      </c>
      <c r="B25" s="297" t="s">
        <v>410</v>
      </c>
      <c r="C25" s="298"/>
    </row>
    <row r="26" spans="1:3">
      <c r="A26" s="291">
        <v>16</v>
      </c>
      <c r="B26" s="306" t="s">
        <v>411</v>
      </c>
      <c r="C26" s="300">
        <f>SUM(C20:C25)</f>
        <v>0</v>
      </c>
    </row>
    <row r="27" spans="1:3">
      <c r="A27" s="287"/>
      <c r="B27" s="287" t="s">
        <v>412</v>
      </c>
      <c r="C27" s="301"/>
    </row>
    <row r="28" spans="1:3">
      <c r="A28" s="288">
        <v>17</v>
      </c>
      <c r="B28" s="297" t="s">
        <v>413</v>
      </c>
      <c r="C28" s="298"/>
    </row>
    <row r="29" spans="1:3">
      <c r="A29" s="288">
        <v>18</v>
      </c>
      <c r="B29" s="297" t="s">
        <v>414</v>
      </c>
      <c r="C29" s="298"/>
    </row>
    <row r="30" spans="1:3">
      <c r="A30" s="291">
        <v>19</v>
      </c>
      <c r="B30" s="306" t="s">
        <v>415</v>
      </c>
      <c r="C30" s="300">
        <f>C28+C29</f>
        <v>0</v>
      </c>
    </row>
    <row r="31" spans="1:3">
      <c r="A31" s="292"/>
      <c r="B31" s="287" t="s">
        <v>416</v>
      </c>
      <c r="C31" s="301"/>
    </row>
    <row r="32" spans="1:3">
      <c r="A32" s="288" t="s">
        <v>417</v>
      </c>
      <c r="B32" s="302" t="s">
        <v>418</v>
      </c>
      <c r="C32" s="308"/>
    </row>
    <row r="33" spans="1:3">
      <c r="A33" s="288" t="s">
        <v>419</v>
      </c>
      <c r="B33" s="303" t="s">
        <v>420</v>
      </c>
      <c r="C33" s="308"/>
    </row>
    <row r="34" spans="1:3">
      <c r="A34" s="287"/>
      <c r="B34" s="287" t="s">
        <v>421</v>
      </c>
      <c r="C34" s="301"/>
    </row>
    <row r="35" spans="1:3">
      <c r="A35" s="291">
        <v>20</v>
      </c>
      <c r="B35" s="306" t="s">
        <v>86</v>
      </c>
      <c r="C35" s="300">
        <f>'1. key ratios'!C9</f>
        <v>312207607.10290265</v>
      </c>
    </row>
    <row r="36" spans="1:3">
      <c r="A36" s="291">
        <v>21</v>
      </c>
      <c r="B36" s="306" t="s">
        <v>422</v>
      </c>
      <c r="C36" s="300">
        <f>C8+C18+C26+C30</f>
        <v>442440914.23656642</v>
      </c>
    </row>
    <row r="37" spans="1:3">
      <c r="A37" s="293"/>
      <c r="B37" s="293" t="s">
        <v>387</v>
      </c>
      <c r="C37" s="301"/>
    </row>
    <row r="38" spans="1:3">
      <c r="A38" s="291">
        <v>22</v>
      </c>
      <c r="B38" s="306" t="s">
        <v>387</v>
      </c>
      <c r="C38" s="651">
        <f>IFERROR(C35/C36,0)</f>
        <v>0.70564813754084688</v>
      </c>
    </row>
    <row r="39" spans="1:3">
      <c r="A39" s="293"/>
      <c r="B39" s="293" t="s">
        <v>423</v>
      </c>
      <c r="C39" s="301"/>
    </row>
    <row r="40" spans="1:3">
      <c r="A40" s="294" t="s">
        <v>424</v>
      </c>
      <c r="B40" s="302" t="s">
        <v>425</v>
      </c>
      <c r="C40" s="308"/>
    </row>
    <row r="41" spans="1:3">
      <c r="A41" s="295" t="s">
        <v>426</v>
      </c>
      <c r="B41" s="303" t="s">
        <v>427</v>
      </c>
      <c r="C41" s="308"/>
    </row>
    <row r="43" spans="1:3">
      <c r="B43" s="317"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70" zoomScaleNormal="70" workbookViewId="0">
      <pane xSplit="2" ySplit="6" topLeftCell="C7" activePane="bottomRight" state="frozen"/>
      <selection activeCell="B2" sqref="B2"/>
      <selection pane="topRight" activeCell="B2" sqref="B2"/>
      <selection pane="bottomLeft" activeCell="B2" sqref="B2"/>
      <selection pane="bottomRight" activeCell="C8" sqref="C8:G37"/>
    </sheetView>
  </sheetViews>
  <sheetFormatPr defaultRowHeight="15"/>
  <cols>
    <col min="1" max="1" width="9.85546875" style="233" bestFit="1" customWidth="1"/>
    <col min="2" max="2" width="82.7109375" style="23" customWidth="1"/>
    <col min="3" max="7" width="17.5703125" style="233" customWidth="1"/>
  </cols>
  <sheetData>
    <row r="1" spans="1:7">
      <c r="A1" s="233" t="s">
        <v>108</v>
      </c>
      <c r="B1" s="233" t="str">
        <f>Info!C2</f>
        <v>JSC "VTB Bank (Georgia)"</v>
      </c>
    </row>
    <row r="2" spans="1:7">
      <c r="A2" s="233" t="s">
        <v>109</v>
      </c>
      <c r="B2" s="347">
        <f>Info!D2</f>
        <v>45291</v>
      </c>
    </row>
    <row r="3" spans="1:7">
      <c r="B3" s="347"/>
    </row>
    <row r="4" spans="1:7" ht="15.75" thickBot="1">
      <c r="A4" s="233" t="s">
        <v>488</v>
      </c>
      <c r="B4" s="348" t="s">
        <v>453</v>
      </c>
    </row>
    <row r="5" spans="1:7">
      <c r="A5" s="349"/>
      <c r="B5" s="350"/>
      <c r="C5" s="841" t="s">
        <v>454</v>
      </c>
      <c r="D5" s="841"/>
      <c r="E5" s="841"/>
      <c r="F5" s="841"/>
      <c r="G5" s="842" t="s">
        <v>455</v>
      </c>
    </row>
    <row r="6" spans="1:7">
      <c r="A6" s="351"/>
      <c r="B6" s="352"/>
      <c r="C6" s="353" t="s">
        <v>456</v>
      </c>
      <c r="D6" s="354" t="s">
        <v>457</v>
      </c>
      <c r="E6" s="354" t="s">
        <v>458</v>
      </c>
      <c r="F6" s="354" t="s">
        <v>459</v>
      </c>
      <c r="G6" s="843"/>
    </row>
    <row r="7" spans="1:7">
      <c r="A7" s="355"/>
      <c r="B7" s="356" t="s">
        <v>460</v>
      </c>
      <c r="C7" s="357"/>
      <c r="D7" s="357"/>
      <c r="E7" s="357"/>
      <c r="F7" s="357"/>
      <c r="G7" s="358"/>
    </row>
    <row r="8" spans="1:7">
      <c r="A8" s="359">
        <v>1</v>
      </c>
      <c r="B8" s="360" t="s">
        <v>461</v>
      </c>
      <c r="C8" s="361">
        <v>313636056</v>
      </c>
      <c r="D8" s="361">
        <v>0</v>
      </c>
      <c r="E8" s="361">
        <v>0</v>
      </c>
      <c r="F8" s="361">
        <v>95901340.799999997</v>
      </c>
      <c r="G8" s="362">
        <f>SUM(G9:G10)</f>
        <v>409537396.80000001</v>
      </c>
    </row>
    <row r="9" spans="1:7">
      <c r="A9" s="359">
        <v>2</v>
      </c>
      <c r="B9" s="363" t="s">
        <v>85</v>
      </c>
      <c r="C9" s="361">
        <v>313636056</v>
      </c>
      <c r="D9" s="361"/>
      <c r="E9" s="361"/>
      <c r="F9" s="361">
        <v>64022645</v>
      </c>
      <c r="G9" s="362">
        <v>377658701</v>
      </c>
    </row>
    <row r="10" spans="1:7">
      <c r="A10" s="359">
        <v>3</v>
      </c>
      <c r="B10" s="363" t="s">
        <v>462</v>
      </c>
      <c r="C10" s="364"/>
      <c r="D10" s="364"/>
      <c r="E10" s="364"/>
      <c r="F10" s="361">
        <v>31878695.799999997</v>
      </c>
      <c r="G10" s="362">
        <v>31878695.799999997</v>
      </c>
    </row>
    <row r="11" spans="1:7" ht="26.25">
      <c r="A11" s="359">
        <v>4</v>
      </c>
      <c r="B11" s="360" t="s">
        <v>463</v>
      </c>
      <c r="C11" s="361">
        <v>3493047.3799999994</v>
      </c>
      <c r="D11" s="361">
        <v>268940</v>
      </c>
      <c r="E11" s="361">
        <v>0</v>
      </c>
      <c r="F11" s="361">
        <v>0</v>
      </c>
      <c r="G11" s="362">
        <f>SUM(G12:G13)</f>
        <v>3573782.0224999995</v>
      </c>
    </row>
    <row r="12" spans="1:7">
      <c r="A12" s="359">
        <v>5</v>
      </c>
      <c r="B12" s="363" t="s">
        <v>464</v>
      </c>
      <c r="C12" s="361">
        <v>3492811.8499999996</v>
      </c>
      <c r="D12" s="365">
        <v>268940</v>
      </c>
      <c r="E12" s="361">
        <v>0</v>
      </c>
      <c r="F12" s="361">
        <v>0</v>
      </c>
      <c r="G12" s="362">
        <v>3573664.2574999994</v>
      </c>
    </row>
    <row r="13" spans="1:7">
      <c r="A13" s="359">
        <v>6</v>
      </c>
      <c r="B13" s="363" t="s">
        <v>465</v>
      </c>
      <c r="C13" s="361">
        <v>235.53</v>
      </c>
      <c r="D13" s="365">
        <v>0</v>
      </c>
      <c r="E13" s="361">
        <v>0</v>
      </c>
      <c r="F13" s="361">
        <v>0</v>
      </c>
      <c r="G13" s="362">
        <v>117.765</v>
      </c>
    </row>
    <row r="14" spans="1:7">
      <c r="A14" s="359">
        <v>7</v>
      </c>
      <c r="B14" s="360" t="s">
        <v>466</v>
      </c>
      <c r="C14" s="361">
        <v>10371669.604800003</v>
      </c>
      <c r="D14" s="361">
        <v>445864.94069999998</v>
      </c>
      <c r="E14" s="361">
        <v>2068010.08</v>
      </c>
      <c r="F14" s="361">
        <v>0</v>
      </c>
      <c r="G14" s="362">
        <f>SUM(G15:G16)</f>
        <v>6258946.0100000016</v>
      </c>
    </row>
    <row r="15" spans="1:7" ht="51.75">
      <c r="A15" s="359">
        <v>8</v>
      </c>
      <c r="B15" s="363" t="s">
        <v>467</v>
      </c>
      <c r="C15" s="361">
        <v>10047776.130000003</v>
      </c>
      <c r="D15" s="365">
        <v>412912.61</v>
      </c>
      <c r="E15" s="361">
        <v>2057203.28</v>
      </c>
      <c r="F15" s="361">
        <v>0</v>
      </c>
      <c r="G15" s="362">
        <v>6258946.0100000016</v>
      </c>
    </row>
    <row r="16" spans="1:7" ht="26.25">
      <c r="A16" s="359">
        <v>9</v>
      </c>
      <c r="B16" s="363" t="s">
        <v>468</v>
      </c>
      <c r="C16" s="361">
        <v>323893.47480000003</v>
      </c>
      <c r="D16" s="365">
        <v>32952.330699999999</v>
      </c>
      <c r="E16" s="361">
        <v>10806.8</v>
      </c>
      <c r="F16" s="361">
        <v>0</v>
      </c>
      <c r="G16" s="362">
        <v>0</v>
      </c>
    </row>
    <row r="17" spans="1:7">
      <c r="A17" s="359">
        <v>10</v>
      </c>
      <c r="B17" s="360" t="s">
        <v>469</v>
      </c>
      <c r="C17" s="361"/>
      <c r="D17" s="365"/>
      <c r="E17" s="361"/>
      <c r="F17" s="361"/>
      <c r="G17" s="362">
        <v>0</v>
      </c>
    </row>
    <row r="18" spans="1:7">
      <c r="A18" s="359">
        <v>11</v>
      </c>
      <c r="B18" s="360" t="s">
        <v>89</v>
      </c>
      <c r="C18" s="361">
        <v>16342485.167300001</v>
      </c>
      <c r="D18" s="365">
        <v>400398.37479999999</v>
      </c>
      <c r="E18" s="361">
        <v>639718.64780000004</v>
      </c>
      <c r="F18" s="361">
        <v>126353.0955</v>
      </c>
      <c r="G18" s="362">
        <f t="shared" ref="G18" si="0">SUM(G19:G20)</f>
        <v>0</v>
      </c>
    </row>
    <row r="19" spans="1:7">
      <c r="A19" s="359">
        <v>12</v>
      </c>
      <c r="B19" s="363" t="s">
        <v>470</v>
      </c>
      <c r="C19" s="364"/>
      <c r="D19" s="365">
        <v>0</v>
      </c>
      <c r="E19" s="361">
        <v>0</v>
      </c>
      <c r="F19" s="361">
        <v>0</v>
      </c>
      <c r="G19" s="362"/>
    </row>
    <row r="20" spans="1:7" ht="26.25">
      <c r="A20" s="359">
        <v>13</v>
      </c>
      <c r="B20" s="363" t="s">
        <v>471</v>
      </c>
      <c r="C20" s="361">
        <v>16342485.167300001</v>
      </c>
      <c r="D20" s="361">
        <v>400398.37479999999</v>
      </c>
      <c r="E20" s="361">
        <v>639718.64780000004</v>
      </c>
      <c r="F20" s="361">
        <v>126353.0955</v>
      </c>
      <c r="G20" s="362"/>
    </row>
    <row r="21" spans="1:7">
      <c r="A21" s="366">
        <v>14</v>
      </c>
      <c r="B21" s="367" t="s">
        <v>472</v>
      </c>
      <c r="C21" s="364"/>
      <c r="D21" s="364"/>
      <c r="E21" s="364"/>
      <c r="F21" s="364"/>
      <c r="G21" s="368">
        <f>SUM(G8,G11,G14,G17,G18)</f>
        <v>419370124.83249998</v>
      </c>
    </row>
    <row r="22" spans="1:7">
      <c r="A22" s="369"/>
      <c r="B22" s="386" t="s">
        <v>473</v>
      </c>
      <c r="C22" s="370"/>
      <c r="D22" s="371"/>
      <c r="E22" s="370"/>
      <c r="F22" s="370"/>
      <c r="G22" s="372"/>
    </row>
    <row r="23" spans="1:7">
      <c r="A23" s="359">
        <v>15</v>
      </c>
      <c r="B23" s="360" t="s">
        <v>322</v>
      </c>
      <c r="C23" s="373">
        <v>146554804.8175</v>
      </c>
      <c r="D23" s="374">
        <v>0</v>
      </c>
      <c r="E23" s="373">
        <v>0</v>
      </c>
      <c r="F23" s="373">
        <v>0</v>
      </c>
      <c r="G23" s="362"/>
    </row>
    <row r="24" spans="1:7">
      <c r="A24" s="359">
        <v>16</v>
      </c>
      <c r="B24" s="360" t="s">
        <v>474</v>
      </c>
      <c r="C24" s="361">
        <v>0</v>
      </c>
      <c r="D24" s="365">
        <v>17040840.130823996</v>
      </c>
      <c r="E24" s="361">
        <v>21338883.834813997</v>
      </c>
      <c r="F24" s="361">
        <v>58052004.316149011</v>
      </c>
      <c r="G24" s="362">
        <f t="shared" ref="G24" si="1">SUM(G25:G27,G29,G31)</f>
        <v>67555886.544529468</v>
      </c>
    </row>
    <row r="25" spans="1:7" ht="26.25">
      <c r="A25" s="359">
        <v>17</v>
      </c>
      <c r="B25" s="363" t="s">
        <v>475</v>
      </c>
      <c r="C25" s="361">
        <v>0</v>
      </c>
      <c r="D25" s="365">
        <v>0</v>
      </c>
      <c r="E25" s="361">
        <v>0</v>
      </c>
      <c r="F25" s="361">
        <v>0</v>
      </c>
      <c r="G25" s="362">
        <v>0</v>
      </c>
    </row>
    <row r="26" spans="1:7" ht="39">
      <c r="A26" s="359">
        <v>18</v>
      </c>
      <c r="B26" s="363" t="s">
        <v>476</v>
      </c>
      <c r="C26" s="361">
        <v>0</v>
      </c>
      <c r="D26" s="365">
        <v>0</v>
      </c>
      <c r="E26" s="361">
        <v>114435.04580000001</v>
      </c>
      <c r="F26" s="361">
        <v>0</v>
      </c>
      <c r="G26" s="362">
        <v>57217.522900000004</v>
      </c>
    </row>
    <row r="27" spans="1:7">
      <c r="A27" s="359">
        <v>19</v>
      </c>
      <c r="B27" s="363" t="s">
        <v>477</v>
      </c>
      <c r="C27" s="361">
        <v>0</v>
      </c>
      <c r="D27" s="365">
        <v>16856202.162913997</v>
      </c>
      <c r="E27" s="361">
        <v>21033615.466059998</v>
      </c>
      <c r="F27" s="361">
        <v>53161108.781068005</v>
      </c>
      <c r="G27" s="362">
        <v>64131851.278394811</v>
      </c>
    </row>
    <row r="28" spans="1:7">
      <c r="A28" s="359">
        <v>20</v>
      </c>
      <c r="B28" s="375" t="s">
        <v>478</v>
      </c>
      <c r="C28" s="361">
        <v>0</v>
      </c>
      <c r="D28" s="365">
        <v>0</v>
      </c>
      <c r="E28" s="361">
        <v>0</v>
      </c>
      <c r="F28" s="361">
        <v>0</v>
      </c>
      <c r="G28" s="362">
        <v>0</v>
      </c>
    </row>
    <row r="29" spans="1:7">
      <c r="A29" s="359">
        <v>21</v>
      </c>
      <c r="B29" s="363" t="s">
        <v>479</v>
      </c>
      <c r="C29" s="361">
        <v>0</v>
      </c>
      <c r="D29" s="365">
        <v>184637.96791000006</v>
      </c>
      <c r="E29" s="361">
        <v>190833.32295399986</v>
      </c>
      <c r="F29" s="361">
        <v>4890895.5350810066</v>
      </c>
      <c r="G29" s="362">
        <v>3366817.7432346521</v>
      </c>
    </row>
    <row r="30" spans="1:7">
      <c r="A30" s="359">
        <v>22</v>
      </c>
      <c r="B30" s="375" t="s">
        <v>478</v>
      </c>
      <c r="C30" s="361">
        <v>0</v>
      </c>
      <c r="D30" s="365">
        <v>184637.96791000006</v>
      </c>
      <c r="E30" s="361">
        <v>190833.32295399986</v>
      </c>
      <c r="F30" s="361">
        <v>4890895.5350810066</v>
      </c>
      <c r="G30" s="362">
        <v>3366817.7432346521</v>
      </c>
    </row>
    <row r="31" spans="1:7" ht="26.25">
      <c r="A31" s="359">
        <v>23</v>
      </c>
      <c r="B31" s="363" t="s">
        <v>480</v>
      </c>
      <c r="C31" s="361">
        <v>0</v>
      </c>
      <c r="D31" s="365">
        <v>0</v>
      </c>
      <c r="E31" s="361">
        <v>0</v>
      </c>
      <c r="F31" s="361">
        <v>0</v>
      </c>
      <c r="G31" s="362">
        <v>0</v>
      </c>
    </row>
    <row r="32" spans="1:7">
      <c r="A32" s="359">
        <v>24</v>
      </c>
      <c r="B32" s="360" t="s">
        <v>481</v>
      </c>
      <c r="C32" s="361">
        <v>0</v>
      </c>
      <c r="D32" s="365">
        <v>0</v>
      </c>
      <c r="E32" s="361">
        <v>0</v>
      </c>
      <c r="F32" s="361">
        <v>0</v>
      </c>
      <c r="G32" s="362"/>
    </row>
    <row r="33" spans="1:7">
      <c r="A33" s="359">
        <v>25</v>
      </c>
      <c r="B33" s="360" t="s">
        <v>99</v>
      </c>
      <c r="C33" s="361">
        <v>205214984.77939996</v>
      </c>
      <c r="D33" s="361">
        <v>5882514.8499999996</v>
      </c>
      <c r="E33" s="361">
        <v>0</v>
      </c>
      <c r="F33" s="361">
        <v>96906.680000000008</v>
      </c>
      <c r="G33" s="362">
        <f>SUM(G34:G35)</f>
        <v>208253148.88439986</v>
      </c>
    </row>
    <row r="34" spans="1:7">
      <c r="A34" s="359">
        <v>26</v>
      </c>
      <c r="B34" s="363" t="s">
        <v>482</v>
      </c>
      <c r="C34" s="364"/>
      <c r="D34" s="365">
        <v>0</v>
      </c>
      <c r="E34" s="361">
        <v>0</v>
      </c>
      <c r="F34" s="361">
        <v>0</v>
      </c>
      <c r="G34" s="362"/>
    </row>
    <row r="35" spans="1:7">
      <c r="A35" s="359">
        <v>27</v>
      </c>
      <c r="B35" s="363" t="s">
        <v>483</v>
      </c>
      <c r="C35" s="361">
        <v>205214984.77939996</v>
      </c>
      <c r="D35" s="365">
        <v>5882514.8499999996</v>
      </c>
      <c r="E35" s="361">
        <v>0</v>
      </c>
      <c r="F35" s="361">
        <v>96906.680000000008</v>
      </c>
      <c r="G35" s="362">
        <v>208253148.88439986</v>
      </c>
    </row>
    <row r="36" spans="1:7">
      <c r="A36" s="359">
        <v>28</v>
      </c>
      <c r="B36" s="360" t="s">
        <v>484</v>
      </c>
      <c r="C36" s="361">
        <v>0</v>
      </c>
      <c r="D36" s="365">
        <v>538445</v>
      </c>
      <c r="E36" s="361">
        <v>2120000</v>
      </c>
      <c r="F36" s="361">
        <v>215567.94151999999</v>
      </c>
      <c r="G36" s="362">
        <v>298179.69122799998</v>
      </c>
    </row>
    <row r="37" spans="1:7">
      <c r="A37" s="366">
        <v>29</v>
      </c>
      <c r="B37" s="367" t="s">
        <v>485</v>
      </c>
      <c r="C37" s="364"/>
      <c r="D37" s="364"/>
      <c r="E37" s="364"/>
      <c r="F37" s="364"/>
      <c r="G37" s="368">
        <f>SUM(G23:G24,G32:G33,G36)</f>
        <v>276107215.1201573</v>
      </c>
    </row>
    <row r="38" spans="1:7">
      <c r="A38" s="355"/>
      <c r="B38" s="376"/>
      <c r="C38" s="377"/>
      <c r="D38" s="377"/>
      <c r="E38" s="377"/>
      <c r="F38" s="377"/>
      <c r="G38" s="378"/>
    </row>
    <row r="39" spans="1:7" ht="15.75" thickBot="1">
      <c r="A39" s="379">
        <v>30</v>
      </c>
      <c r="B39" s="380" t="s">
        <v>453</v>
      </c>
      <c r="C39" s="242"/>
      <c r="D39" s="224"/>
      <c r="E39" s="224"/>
      <c r="F39" s="381"/>
      <c r="G39" s="382">
        <f>IFERROR(G21/G37,0)</f>
        <v>1.518866954092442</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71"/>
  <sheetViews>
    <sheetView zoomScale="63" zoomScaleNormal="63" workbookViewId="0">
      <pane xSplit="1" ySplit="5" topLeftCell="B6" activePane="bottomRight" state="frozen"/>
      <selection pane="topRight" activeCell="B1" sqref="B1"/>
      <selection pane="bottomLeft" activeCell="A6" sqref="A6"/>
      <selection pane="bottomRight" activeCell="C8" sqref="C8:L48"/>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8" width="6.7109375" customWidth="1"/>
    <col min="9" max="12" width="12.28515625" bestFit="1" customWidth="1"/>
    <col min="13" max="13" width="6.7109375" customWidth="1"/>
  </cols>
  <sheetData>
    <row r="1" spans="1:12">
      <c r="A1" s="17" t="s">
        <v>108</v>
      </c>
      <c r="B1" s="316" t="str">
        <f>Info!C2</f>
        <v>JSC "VTB Bank (Georgia)"</v>
      </c>
    </row>
    <row r="2" spans="1:12">
      <c r="A2" s="17" t="s">
        <v>109</v>
      </c>
      <c r="B2" s="347">
        <f>Info!D2</f>
        <v>45291</v>
      </c>
      <c r="C2" s="29"/>
      <c r="D2" s="18"/>
      <c r="E2" s="18"/>
      <c r="F2" s="18"/>
      <c r="G2" s="18"/>
      <c r="H2" s="1"/>
    </row>
    <row r="3" spans="1:12" ht="16.5" thickBot="1">
      <c r="A3" s="17"/>
      <c r="C3" s="29"/>
      <c r="D3" s="18"/>
      <c r="E3" s="18"/>
      <c r="F3" s="18"/>
      <c r="G3" s="18"/>
      <c r="H3" s="1"/>
    </row>
    <row r="4" spans="1:12" ht="16.5" thickBot="1">
      <c r="A4" s="39" t="s">
        <v>252</v>
      </c>
      <c r="B4" s="150" t="s">
        <v>139</v>
      </c>
      <c r="C4" s="151"/>
      <c r="D4" s="779" t="s">
        <v>936</v>
      </c>
      <c r="E4" s="780"/>
      <c r="F4" s="780"/>
      <c r="G4" s="781"/>
      <c r="H4" s="1"/>
      <c r="I4" s="782" t="s">
        <v>937</v>
      </c>
      <c r="J4" s="783"/>
      <c r="K4" s="783"/>
      <c r="L4" s="784"/>
    </row>
    <row r="5" spans="1:12" ht="15">
      <c r="A5" s="210" t="s">
        <v>25</v>
      </c>
      <c r="B5" s="211"/>
      <c r="C5" s="337" t="str">
        <f>INT((MONTH($B$2))/3)&amp;"Q"&amp;"-"&amp;YEAR($B$2)</f>
        <v>4Q-2023</v>
      </c>
      <c r="D5" s="337" t="str">
        <f>IF(INT(MONTH($B$2))=3, "4"&amp;"Q"&amp;"-"&amp;YEAR($B$2)-1, IF(INT(MONTH($B$2))=6, "1"&amp;"Q"&amp;"-"&amp;YEAR($B$2), IF(INT(MONTH($B$2))=9, "2"&amp;"Q"&amp;"-"&amp;YEAR($B$2),IF(INT(MONTH($B$2))=12, "3"&amp;"Q"&amp;"-"&amp;YEAR($B$2), 0))))</f>
        <v>3Q-2023</v>
      </c>
      <c r="E5" s="337" t="str">
        <f>IF(INT(MONTH($B$2))=3, "3"&amp;"Q"&amp;"-"&amp;YEAR($B$2)-1, IF(INT(MONTH($B$2))=6, "4"&amp;"Q"&amp;"-"&amp;YEAR($B$2)-1, IF(INT(MONTH($B$2))=9, "1"&amp;"Q"&amp;"-"&amp;YEAR($B$2),IF(INT(MONTH($B$2))=12, "2"&amp;"Q"&amp;"-"&amp;YEAR($B$2), 0))))</f>
        <v>2Q-2023</v>
      </c>
      <c r="F5" s="337" t="str">
        <f>IF(INT(MONTH($B$2))=3, "2"&amp;"Q"&amp;"-"&amp;YEAR($B$2)-1, IF(INT(MONTH($B$2))=6, "3"&amp;"Q"&amp;"-"&amp;YEAR($B$2)-1, IF(INT(MONTH($B$2))=9, "4"&amp;"Q"&amp;"-"&amp;YEAR($B$2)-1,IF(INT(MONTH($B$2))=12, "1"&amp;"Q"&amp;"-"&amp;YEAR($B$2), 0))))</f>
        <v>1Q-2023</v>
      </c>
      <c r="G5" s="338" t="str">
        <f>IF(INT(MONTH($B$2))=3, "1"&amp;"Q"&amp;"-"&amp;YEAR($B$2)-1, IF(INT(MONTH($B$2))=6, "2"&amp;"Q"&amp;"-"&amp;YEAR($B$2)-1, IF(INT(MONTH($B$2))=9, "3"&amp;"Q"&amp;"-"&amp;YEAR($B$2)-1,IF(INT(MONTH($B$2))=12, "4"&amp;"Q"&amp;"-"&amp;YEAR($B$2)-1, 0))))</f>
        <v>4Q-2022</v>
      </c>
      <c r="I5" s="634" t="str">
        <f>D5</f>
        <v>3Q-2023</v>
      </c>
      <c r="J5" s="337" t="str">
        <f t="shared" ref="J5:L5" si="0">E5</f>
        <v>2Q-2023</v>
      </c>
      <c r="K5" s="337" t="str">
        <f t="shared" si="0"/>
        <v>1Q-2023</v>
      </c>
      <c r="L5" s="338" t="str">
        <f t="shared" si="0"/>
        <v>4Q-2022</v>
      </c>
    </row>
    <row r="6" spans="1:12" ht="15">
      <c r="A6" s="339"/>
      <c r="B6" s="340" t="s">
        <v>106</v>
      </c>
      <c r="C6" s="212"/>
      <c r="D6" s="212"/>
      <c r="E6" s="212"/>
      <c r="F6" s="212"/>
      <c r="G6" s="213"/>
      <c r="I6" s="635"/>
      <c r="J6" s="212"/>
      <c r="K6" s="212"/>
      <c r="L6" s="213"/>
    </row>
    <row r="7" spans="1:12" ht="15">
      <c r="A7" s="339"/>
      <c r="B7" s="341" t="s">
        <v>110</v>
      </c>
      <c r="C7" s="212"/>
      <c r="D7" s="212"/>
      <c r="E7" s="212"/>
      <c r="F7" s="212"/>
      <c r="G7" s="213"/>
      <c r="I7" s="635"/>
      <c r="J7" s="212"/>
      <c r="K7" s="212"/>
      <c r="L7" s="213"/>
    </row>
    <row r="8" spans="1:12" ht="15">
      <c r="A8" s="321">
        <v>1</v>
      </c>
      <c r="B8" s="322" t="s">
        <v>22</v>
      </c>
      <c r="C8" s="709">
        <v>261350407.10290265</v>
      </c>
      <c r="D8" s="709"/>
      <c r="E8" s="709"/>
      <c r="F8" s="709"/>
      <c r="G8" s="709"/>
      <c r="H8" s="700"/>
      <c r="I8" s="709">
        <v>208608730</v>
      </c>
      <c r="J8" s="709">
        <v>201336930.36000001</v>
      </c>
      <c r="K8" s="709">
        <v>192167931.78999999</v>
      </c>
      <c r="L8" s="709">
        <v>174241274.31999999</v>
      </c>
    </row>
    <row r="9" spans="1:12" ht="15">
      <c r="A9" s="321">
        <v>2</v>
      </c>
      <c r="B9" s="322" t="s">
        <v>86</v>
      </c>
      <c r="C9" s="709">
        <v>312207607.10290265</v>
      </c>
      <c r="D9" s="709"/>
      <c r="E9" s="709"/>
      <c r="F9" s="709"/>
      <c r="G9" s="709"/>
      <c r="H9" s="700"/>
      <c r="I9" s="709">
        <v>255231230</v>
      </c>
      <c r="J9" s="709">
        <v>252488230.36000001</v>
      </c>
      <c r="K9" s="709">
        <v>248521231.78999999</v>
      </c>
      <c r="L9" s="709">
        <v>236750274.31999999</v>
      </c>
    </row>
    <row r="10" spans="1:12" ht="15">
      <c r="A10" s="321">
        <v>3</v>
      </c>
      <c r="B10" s="322" t="s">
        <v>85</v>
      </c>
      <c r="C10" s="709">
        <v>376230252.30290264</v>
      </c>
      <c r="D10" s="709"/>
      <c r="E10" s="709"/>
      <c r="F10" s="709"/>
      <c r="G10" s="709"/>
      <c r="H10" s="700"/>
      <c r="I10" s="709">
        <v>317586383.77606601</v>
      </c>
      <c r="J10" s="709">
        <v>325650691.08664</v>
      </c>
      <c r="K10" s="709">
        <v>329387663.72363997</v>
      </c>
      <c r="L10" s="709">
        <v>326927232.87329996</v>
      </c>
    </row>
    <row r="11" spans="1:12" ht="15">
      <c r="A11" s="321">
        <v>4</v>
      </c>
      <c r="B11" s="322" t="s">
        <v>445</v>
      </c>
      <c r="C11" s="709">
        <v>123914641.9287356</v>
      </c>
      <c r="D11" s="709"/>
      <c r="E11" s="709"/>
      <c r="F11" s="709"/>
      <c r="G11" s="709"/>
      <c r="H11" s="700"/>
      <c r="I11" s="709">
        <v>60753126.281547755</v>
      </c>
      <c r="J11" s="709">
        <v>63036111.867103204</v>
      </c>
      <c r="K11" s="709">
        <v>70306102.991828084</v>
      </c>
      <c r="L11" s="709">
        <v>68304667.254833221</v>
      </c>
    </row>
    <row r="12" spans="1:12" ht="15">
      <c r="A12" s="321">
        <v>5</v>
      </c>
      <c r="B12" s="322" t="s">
        <v>446</v>
      </c>
      <c r="C12" s="709">
        <v>141210226.00391859</v>
      </c>
      <c r="D12" s="709"/>
      <c r="E12" s="709"/>
      <c r="F12" s="709"/>
      <c r="G12" s="709"/>
      <c r="H12" s="700"/>
      <c r="I12" s="709">
        <v>76465254.170579702</v>
      </c>
      <c r="J12" s="709">
        <v>79356644.749012187</v>
      </c>
      <c r="K12" s="709">
        <v>88782812.072096914</v>
      </c>
      <c r="L12" s="709">
        <v>85915625.694332406</v>
      </c>
    </row>
    <row r="13" spans="1:12" ht="15">
      <c r="A13" s="321">
        <v>6</v>
      </c>
      <c r="B13" s="322" t="s">
        <v>447</v>
      </c>
      <c r="C13" s="709">
        <v>164121438.76556736</v>
      </c>
      <c r="D13" s="709"/>
      <c r="E13" s="709"/>
      <c r="F13" s="709"/>
      <c r="G13" s="709"/>
      <c r="H13" s="700"/>
      <c r="I13" s="709">
        <v>97286491.316493705</v>
      </c>
      <c r="J13" s="709">
        <v>100983412.6570493</v>
      </c>
      <c r="K13" s="709">
        <v>125546612.48540728</v>
      </c>
      <c r="L13" s="709">
        <v>130843309.83553016</v>
      </c>
    </row>
    <row r="14" spans="1:12" ht="15">
      <c r="A14" s="339"/>
      <c r="B14" s="340" t="s">
        <v>449</v>
      </c>
      <c r="C14" s="703"/>
      <c r="D14" s="703"/>
      <c r="E14" s="703"/>
      <c r="F14" s="703"/>
      <c r="G14" s="703"/>
      <c r="H14" s="700"/>
      <c r="I14" s="703"/>
      <c r="J14" s="703"/>
      <c r="K14" s="703"/>
      <c r="L14" s="703"/>
    </row>
    <row r="15" spans="1:12" ht="22.15" customHeight="1">
      <c r="A15" s="321">
        <v>7</v>
      </c>
      <c r="B15" s="322" t="s">
        <v>448</v>
      </c>
      <c r="C15" s="710">
        <v>584688118.35023332</v>
      </c>
      <c r="D15" s="710"/>
      <c r="E15" s="710"/>
      <c r="F15" s="710"/>
      <c r="G15" s="710"/>
      <c r="H15" s="700"/>
      <c r="I15" s="710">
        <v>560061709.3135066</v>
      </c>
      <c r="J15" s="710">
        <v>579053640.99603593</v>
      </c>
      <c r="K15" s="710">
        <v>614531119.08097446</v>
      </c>
      <c r="L15" s="710">
        <v>622042906.07285404</v>
      </c>
    </row>
    <row r="16" spans="1:12" ht="15">
      <c r="A16" s="339"/>
      <c r="B16" s="340" t="s">
        <v>452</v>
      </c>
      <c r="C16" s="703"/>
      <c r="D16" s="703"/>
      <c r="E16" s="703"/>
      <c r="F16" s="703"/>
      <c r="G16" s="703"/>
      <c r="H16" s="700"/>
      <c r="I16" s="703"/>
      <c r="J16" s="703"/>
      <c r="K16" s="703"/>
      <c r="L16" s="703"/>
    </row>
    <row r="17" spans="1:12" s="3" customFormat="1" ht="15">
      <c r="A17" s="321"/>
      <c r="B17" s="341" t="s">
        <v>435</v>
      </c>
      <c r="C17" s="703"/>
      <c r="D17" s="703"/>
      <c r="E17" s="703"/>
      <c r="F17" s="703"/>
      <c r="G17" s="703"/>
      <c r="H17" s="701"/>
      <c r="I17" s="703"/>
      <c r="J17" s="703"/>
      <c r="K17" s="703"/>
      <c r="L17" s="703"/>
    </row>
    <row r="18" spans="1:12" ht="15">
      <c r="A18" s="320">
        <v>8</v>
      </c>
      <c r="B18" s="342" t="s">
        <v>443</v>
      </c>
      <c r="C18" s="711">
        <f>C8/$C$15</f>
        <v>0.44699113749794289</v>
      </c>
      <c r="D18" s="711"/>
      <c r="E18" s="711"/>
      <c r="F18" s="711"/>
      <c r="G18" s="711"/>
      <c r="H18" s="700"/>
      <c r="I18" s="711">
        <f>I8/$I$15</f>
        <v>0.37247454437779959</v>
      </c>
      <c r="J18" s="711">
        <f>J8/$J$15</f>
        <v>0.34769996439997919</v>
      </c>
      <c r="K18" s="711">
        <v>0.31270659177908733</v>
      </c>
      <c r="L18" s="711">
        <v>0.280111343797871</v>
      </c>
    </row>
    <row r="19" spans="1:12" ht="15" customHeight="1">
      <c r="A19" s="320">
        <v>9</v>
      </c>
      <c r="B19" s="342" t="s">
        <v>442</v>
      </c>
      <c r="C19" s="711">
        <f t="shared" ref="C19:C23" si="1">C9/$C$15</f>
        <v>0.53397289478676824</v>
      </c>
      <c r="D19" s="711"/>
      <c r="E19" s="711"/>
      <c r="F19" s="711"/>
      <c r="G19" s="711"/>
      <c r="H19" s="700"/>
      <c r="I19" s="711">
        <f t="shared" ref="I19:I22" si="2">I9/$I$15</f>
        <v>0.45571983543179312</v>
      </c>
      <c r="J19" s="711">
        <f t="shared" ref="J19:J23" si="3">J9/$J$15</f>
        <v>0.43603599474081967</v>
      </c>
      <c r="K19" s="711">
        <v>0.40440788769437935</v>
      </c>
      <c r="L19" s="711">
        <v>0.3806011964908923</v>
      </c>
    </row>
    <row r="20" spans="1:12" ht="15">
      <c r="A20" s="320">
        <v>10</v>
      </c>
      <c r="B20" s="342" t="s">
        <v>444</v>
      </c>
      <c r="C20" s="711">
        <f t="shared" si="1"/>
        <v>0.6434716911376287</v>
      </c>
      <c r="D20" s="711"/>
      <c r="E20" s="711"/>
      <c r="F20" s="711"/>
      <c r="G20" s="711"/>
      <c r="H20" s="700"/>
      <c r="I20" s="711">
        <f t="shared" si="2"/>
        <v>0.56705605560027705</v>
      </c>
      <c r="J20" s="711">
        <f t="shared" si="3"/>
        <v>0.56238432509721381</v>
      </c>
      <c r="K20" s="711">
        <v>0.53599834653814782</v>
      </c>
      <c r="L20" s="711">
        <v>0.52557022945135889</v>
      </c>
    </row>
    <row r="21" spans="1:12" ht="15">
      <c r="A21" s="320">
        <v>11</v>
      </c>
      <c r="B21" s="322" t="s">
        <v>445</v>
      </c>
      <c r="C21" s="711">
        <f t="shared" si="1"/>
        <v>0.21193288873113314</v>
      </c>
      <c r="D21" s="711"/>
      <c r="E21" s="711"/>
      <c r="F21" s="711"/>
      <c r="G21" s="711"/>
      <c r="H21" s="700"/>
      <c r="I21" s="711">
        <f t="shared" si="2"/>
        <v>0.10847577199308207</v>
      </c>
      <c r="J21" s="711">
        <f t="shared" si="3"/>
        <v>0.10886057422706844</v>
      </c>
      <c r="K21" s="711">
        <v>0.11440609077205105</v>
      </c>
      <c r="L21" s="711">
        <v>0.10980700300251207</v>
      </c>
    </row>
    <row r="22" spans="1:12" ht="15">
      <c r="A22" s="320">
        <v>12</v>
      </c>
      <c r="B22" s="322" t="s">
        <v>446</v>
      </c>
      <c r="C22" s="711">
        <f t="shared" si="1"/>
        <v>0.24151376019468285</v>
      </c>
      <c r="D22" s="711"/>
      <c r="E22" s="711"/>
      <c r="F22" s="711"/>
      <c r="G22" s="711"/>
      <c r="H22" s="700"/>
      <c r="I22" s="711">
        <f t="shared" si="2"/>
        <v>0.1365300517764492</v>
      </c>
      <c r="J22" s="711">
        <f t="shared" si="3"/>
        <v>0.13704541191125236</v>
      </c>
      <c r="K22" s="711">
        <v>0.14447244299828263</v>
      </c>
      <c r="L22" s="711">
        <v>0.13811848805855512</v>
      </c>
    </row>
    <row r="23" spans="1:12" ht="15">
      <c r="A23" s="320">
        <v>13</v>
      </c>
      <c r="B23" s="322" t="s">
        <v>447</v>
      </c>
      <c r="C23" s="711">
        <f t="shared" si="1"/>
        <v>0.28069911738356412</v>
      </c>
      <c r="D23" s="711"/>
      <c r="E23" s="711"/>
      <c r="F23" s="711"/>
      <c r="G23" s="711"/>
      <c r="H23" s="700"/>
      <c r="I23" s="711">
        <f>I13/$I$15</f>
        <v>0.17370673570193226</v>
      </c>
      <c r="J23" s="711">
        <f t="shared" si="3"/>
        <v>0.17439388254833649</v>
      </c>
      <c r="K23" s="711">
        <v>0.20429659066437686</v>
      </c>
      <c r="L23" s="711">
        <v>0.21034450929049855</v>
      </c>
    </row>
    <row r="24" spans="1:12" ht="15">
      <c r="A24" s="339"/>
      <c r="B24" s="340" t="s">
        <v>6</v>
      </c>
      <c r="C24" s="705"/>
      <c r="D24" s="705"/>
      <c r="E24" s="705"/>
      <c r="F24" s="705"/>
      <c r="G24" s="705"/>
      <c r="H24" s="700"/>
      <c r="I24" s="705"/>
      <c r="J24" s="705"/>
      <c r="K24" s="705"/>
      <c r="L24" s="705"/>
    </row>
    <row r="25" spans="1:12" ht="15" customHeight="1">
      <c r="A25" s="343">
        <v>14</v>
      </c>
      <c r="B25" s="344" t="s">
        <v>7</v>
      </c>
      <c r="C25" s="712">
        <v>4.6241633862009746E-2</v>
      </c>
      <c r="D25" s="712"/>
      <c r="E25" s="712"/>
      <c r="F25" s="712"/>
      <c r="G25" s="712"/>
      <c r="H25" s="700"/>
      <c r="I25" s="712">
        <v>3.4298420495407711E-2</v>
      </c>
      <c r="J25" s="712">
        <v>3.9136048989245276E-2</v>
      </c>
      <c r="K25" s="712">
        <v>3.9239801719732785E-2</v>
      </c>
      <c r="L25" s="712">
        <v>6.3035081225748191E-2</v>
      </c>
    </row>
    <row r="26" spans="1:12" ht="15">
      <c r="A26" s="343">
        <v>15</v>
      </c>
      <c r="B26" s="344" t="s">
        <v>8</v>
      </c>
      <c r="C26" s="712">
        <v>2.1731624257532282E-2</v>
      </c>
      <c r="D26" s="712"/>
      <c r="E26" s="712"/>
      <c r="F26" s="712"/>
      <c r="G26" s="712"/>
      <c r="H26" s="700"/>
      <c r="I26" s="712">
        <v>2.4802328620101656E-2</v>
      </c>
      <c r="J26" s="712">
        <v>2.564962645938243E-2</v>
      </c>
      <c r="K26" s="712">
        <v>2.670633494699777E-2</v>
      </c>
      <c r="L26" s="712">
        <v>3.2856185638226024E-2</v>
      </c>
    </row>
    <row r="27" spans="1:12" ht="15">
      <c r="A27" s="343">
        <v>16</v>
      </c>
      <c r="B27" s="344" t="s">
        <v>9</v>
      </c>
      <c r="C27" s="712">
        <v>8.2191592824971543E-3</v>
      </c>
      <c r="D27" s="712"/>
      <c r="E27" s="712"/>
      <c r="F27" s="712"/>
      <c r="G27" s="712"/>
      <c r="H27" s="700"/>
      <c r="I27" s="712">
        <v>-2.7285869966374263E-2</v>
      </c>
      <c r="J27" s="712">
        <v>-2.169529067629062E-2</v>
      </c>
      <c r="K27" s="712">
        <v>-2.2022216355456127E-2</v>
      </c>
      <c r="L27" s="712">
        <v>-0.11559692850793706</v>
      </c>
    </row>
    <row r="28" spans="1:12" ht="15">
      <c r="A28" s="343">
        <v>17</v>
      </c>
      <c r="B28" s="344" t="s">
        <v>140</v>
      </c>
      <c r="C28" s="712">
        <v>2.451000960447746E-2</v>
      </c>
      <c r="D28" s="712"/>
      <c r="E28" s="712"/>
      <c r="F28" s="712"/>
      <c r="G28" s="712"/>
      <c r="H28" s="700"/>
      <c r="I28" s="712">
        <v>9.4960918753060515E-3</v>
      </c>
      <c r="J28" s="712">
        <v>1.3486422529862851E-2</v>
      </c>
      <c r="K28" s="712">
        <v>1.2533466772735015E-2</v>
      </c>
      <c r="L28" s="712">
        <v>3.9127081638580509E-2</v>
      </c>
    </row>
    <row r="29" spans="1:12" ht="15">
      <c r="A29" s="343">
        <v>18</v>
      </c>
      <c r="B29" s="344" t="s">
        <v>10</v>
      </c>
      <c r="C29" s="712">
        <v>8.1470464237923322E-5</v>
      </c>
      <c r="D29" s="712"/>
      <c r="E29" s="712"/>
      <c r="F29" s="712"/>
      <c r="G29" s="712"/>
      <c r="H29" s="700"/>
      <c r="I29" s="712">
        <v>3.0081747067863306E-3</v>
      </c>
      <c r="J29" s="712">
        <v>7.0825375862007142E-2</v>
      </c>
      <c r="K29" s="712">
        <v>0.10304915402325415</v>
      </c>
      <c r="L29" s="712">
        <v>-6.0625746697740339E-2</v>
      </c>
    </row>
    <row r="30" spans="1:12" ht="15">
      <c r="A30" s="343">
        <v>19</v>
      </c>
      <c r="B30" s="344" t="s">
        <v>11</v>
      </c>
      <c r="C30" s="712">
        <v>1.1608460485498054E-4</v>
      </c>
      <c r="D30" s="712"/>
      <c r="E30" s="712"/>
      <c r="F30" s="712"/>
      <c r="G30" s="712"/>
      <c r="H30" s="700"/>
      <c r="I30" s="712">
        <v>4.545345583083853E-3</v>
      </c>
      <c r="J30" s="712">
        <v>0.10929745020189671</v>
      </c>
      <c r="K30" s="712">
        <v>0.16258689595268488</v>
      </c>
      <c r="L30" s="712">
        <v>-0.18928870587373323</v>
      </c>
    </row>
    <row r="31" spans="1:12" ht="15">
      <c r="A31" s="339"/>
      <c r="B31" s="340" t="s">
        <v>12</v>
      </c>
      <c r="C31" s="705"/>
      <c r="D31" s="705"/>
      <c r="E31" s="705"/>
      <c r="F31" s="705"/>
      <c r="G31" s="705"/>
      <c r="H31" s="700"/>
      <c r="I31" s="705"/>
      <c r="J31" s="705"/>
      <c r="K31" s="705"/>
      <c r="L31" s="705"/>
    </row>
    <row r="32" spans="1:12" ht="15">
      <c r="A32" s="343">
        <v>20</v>
      </c>
      <c r="B32" s="344" t="s">
        <v>13</v>
      </c>
      <c r="C32" s="712">
        <v>0.27366792338315526</v>
      </c>
      <c r="D32" s="712"/>
      <c r="E32" s="712"/>
      <c r="F32" s="712"/>
      <c r="G32" s="712"/>
      <c r="H32" s="700"/>
      <c r="I32" s="712">
        <v>0.24436036975216371</v>
      </c>
      <c r="J32" s="712">
        <v>0.17969019722728147</v>
      </c>
      <c r="K32" s="712">
        <v>0.16460537794558727</v>
      </c>
      <c r="L32" s="712">
        <v>0.14369045381341716</v>
      </c>
    </row>
    <row r="33" spans="1:12" ht="15" customHeight="1">
      <c r="A33" s="343">
        <v>21</v>
      </c>
      <c r="B33" s="344" t="s">
        <v>958</v>
      </c>
      <c r="C33" s="712">
        <v>7.0654042654676313E-2</v>
      </c>
      <c r="D33" s="712"/>
      <c r="E33" s="712"/>
      <c r="F33" s="712"/>
      <c r="G33" s="712"/>
      <c r="H33" s="700"/>
      <c r="I33" s="712">
        <v>0.11923139489189029</v>
      </c>
      <c r="J33" s="712">
        <v>9.5221268061290443E-2</v>
      </c>
      <c r="K33" s="712">
        <v>8.9079291397833008E-2</v>
      </c>
      <c r="L33" s="712">
        <v>7.8625097987918072E-2</v>
      </c>
    </row>
    <row r="34" spans="1:12" ht="15">
      <c r="A34" s="343">
        <v>22</v>
      </c>
      <c r="B34" s="344" t="s">
        <v>14</v>
      </c>
      <c r="C34" s="712">
        <v>0.59500742654462468</v>
      </c>
      <c r="D34" s="712"/>
      <c r="E34" s="712"/>
      <c r="F34" s="712"/>
      <c r="G34" s="712"/>
      <c r="H34" s="700"/>
      <c r="I34" s="712">
        <v>0.57138100843410145</v>
      </c>
      <c r="J34" s="712">
        <v>0.56554904296970487</v>
      </c>
      <c r="K34" s="712">
        <v>0.57238374285292037</v>
      </c>
      <c r="L34" s="712">
        <v>0.5458272598687649</v>
      </c>
    </row>
    <row r="35" spans="1:12" ht="15" customHeight="1">
      <c r="A35" s="343">
        <v>23</v>
      </c>
      <c r="B35" s="344" t="s">
        <v>15</v>
      </c>
      <c r="C35" s="712">
        <v>0.41614500534261689</v>
      </c>
      <c r="D35" s="712"/>
      <c r="E35" s="712"/>
      <c r="F35" s="712"/>
      <c r="G35" s="712"/>
      <c r="H35" s="700"/>
      <c r="I35" s="712">
        <v>0.43531228825262114</v>
      </c>
      <c r="J35" s="712">
        <v>0.40942069943244158</v>
      </c>
      <c r="K35" s="712">
        <v>0.3949484558699376</v>
      </c>
      <c r="L35" s="712">
        <v>0.41139065757592502</v>
      </c>
    </row>
    <row r="36" spans="1:12" ht="15">
      <c r="A36" s="343">
        <v>24</v>
      </c>
      <c r="B36" s="344" t="s">
        <v>16</v>
      </c>
      <c r="C36" s="712">
        <v>-0.20973774215393315</v>
      </c>
      <c r="D36" s="712"/>
      <c r="E36" s="712"/>
      <c r="F36" s="712"/>
      <c r="G36" s="712"/>
      <c r="H36" s="700"/>
      <c r="I36" s="712">
        <v>-0.22043031646959352</v>
      </c>
      <c r="J36" s="712">
        <v>-0.2003711101024041</v>
      </c>
      <c r="K36" s="712">
        <v>-0.14695758693704716</v>
      </c>
      <c r="L36" s="712">
        <v>-0.83676043120080723</v>
      </c>
    </row>
    <row r="37" spans="1:12" ht="15" customHeight="1">
      <c r="A37" s="339"/>
      <c r="B37" s="340" t="s">
        <v>17</v>
      </c>
      <c r="C37" s="705"/>
      <c r="D37" s="705"/>
      <c r="E37" s="705"/>
      <c r="F37" s="705"/>
      <c r="G37" s="705"/>
      <c r="H37" s="700"/>
      <c r="I37" s="705"/>
      <c r="J37" s="705"/>
      <c r="K37" s="705"/>
      <c r="L37" s="705"/>
    </row>
    <row r="38" spans="1:12" ht="15" customHeight="1">
      <c r="A38" s="343">
        <v>25</v>
      </c>
      <c r="B38" s="344" t="s">
        <v>18</v>
      </c>
      <c r="C38" s="712">
        <v>0.31676400967057627</v>
      </c>
      <c r="D38" s="712"/>
      <c r="E38" s="712"/>
      <c r="F38" s="712"/>
      <c r="G38" s="712"/>
      <c r="H38" s="700"/>
      <c r="I38" s="712">
        <v>0.34779090227790938</v>
      </c>
      <c r="J38" s="712">
        <v>0.32951991649475171</v>
      </c>
      <c r="K38" s="712">
        <v>0.2567366267956892</v>
      </c>
      <c r="L38" s="712">
        <v>0.22791638290306998</v>
      </c>
    </row>
    <row r="39" spans="1:12" ht="15" customHeight="1">
      <c r="A39" s="343">
        <v>26</v>
      </c>
      <c r="B39" s="344" t="s">
        <v>19</v>
      </c>
      <c r="C39" s="712">
        <v>0.86105729834233424</v>
      </c>
      <c r="D39" s="712"/>
      <c r="E39" s="712"/>
      <c r="F39" s="712"/>
      <c r="G39" s="712"/>
      <c r="H39" s="700"/>
      <c r="I39" s="712">
        <v>0.83123734841034058</v>
      </c>
      <c r="J39" s="712">
        <v>0.82901225411972035</v>
      </c>
      <c r="K39" s="712">
        <v>0.8264716917454088</v>
      </c>
      <c r="L39" s="712">
        <v>0.8236972216262729</v>
      </c>
    </row>
    <row r="40" spans="1:12" ht="15" customHeight="1">
      <c r="A40" s="343">
        <v>27</v>
      </c>
      <c r="B40" s="345" t="s">
        <v>20</v>
      </c>
      <c r="C40" s="712">
        <v>2.9832046425597312E-2</v>
      </c>
      <c r="D40" s="712"/>
      <c r="E40" s="712"/>
      <c r="F40" s="712"/>
      <c r="G40" s="712"/>
      <c r="H40" s="700"/>
      <c r="I40" s="712">
        <v>4.1097076542233629E-2</v>
      </c>
      <c r="J40" s="712">
        <v>4.3906736744275754E-2</v>
      </c>
      <c r="K40" s="712">
        <v>4.9140712377367501E-2</v>
      </c>
      <c r="L40" s="712">
        <v>5.1056201995231996E-2</v>
      </c>
    </row>
    <row r="41" spans="1:12" ht="15" customHeight="1">
      <c r="A41" s="346"/>
      <c r="B41" s="340" t="s">
        <v>356</v>
      </c>
      <c r="C41" s="705"/>
      <c r="D41" s="705"/>
      <c r="E41" s="705"/>
      <c r="F41" s="705"/>
      <c r="G41" s="705"/>
      <c r="H41" s="700"/>
      <c r="I41" s="705"/>
      <c r="J41" s="705"/>
      <c r="K41" s="705"/>
      <c r="L41" s="705"/>
    </row>
    <row r="42" spans="1:12" ht="15" customHeight="1">
      <c r="A42" s="343">
        <v>28</v>
      </c>
      <c r="B42" s="385" t="s">
        <v>340</v>
      </c>
      <c r="C42" s="713">
        <v>144171681.20429999</v>
      </c>
      <c r="D42" s="713"/>
      <c r="E42" s="713"/>
      <c r="F42" s="713"/>
      <c r="G42" s="713"/>
      <c r="H42" s="700"/>
      <c r="I42" s="713">
        <v>137662621.34759998</v>
      </c>
      <c r="J42" s="713">
        <v>134371369.78870001</v>
      </c>
      <c r="K42" s="713">
        <v>106294055</v>
      </c>
      <c r="L42" s="713">
        <v>99326713.538000003</v>
      </c>
    </row>
    <row r="43" spans="1:12" ht="15">
      <c r="A43" s="343">
        <v>29</v>
      </c>
      <c r="B43" s="344" t="s">
        <v>341</v>
      </c>
      <c r="C43" s="713">
        <v>22832231.128789958</v>
      </c>
      <c r="D43" s="713"/>
      <c r="E43" s="713"/>
      <c r="F43" s="713"/>
      <c r="G43" s="713"/>
      <c r="H43" s="700"/>
      <c r="I43" s="713">
        <v>30592189.450344253</v>
      </c>
      <c r="J43" s="713">
        <v>33342737.175284494</v>
      </c>
      <c r="K43" s="713">
        <v>40393399</v>
      </c>
      <c r="L43" s="713">
        <v>38373947.734166145</v>
      </c>
    </row>
    <row r="44" spans="1:12" ht="15">
      <c r="A44" s="383">
        <v>30</v>
      </c>
      <c r="B44" s="384" t="s">
        <v>339</v>
      </c>
      <c r="C44" s="712">
        <f>C42/C43</f>
        <v>6.3143930346127615</v>
      </c>
      <c r="D44" s="712"/>
      <c r="E44" s="712"/>
      <c r="F44" s="712"/>
      <c r="G44" s="712"/>
      <c r="H44" s="700"/>
      <c r="I44" s="712">
        <f>I42/I43</f>
        <v>4.4999270670393576</v>
      </c>
      <c r="J44" s="712">
        <f>J42/J43</f>
        <v>4.0300041679932503</v>
      </c>
      <c r="K44" s="712">
        <v>2.631470924246806</v>
      </c>
      <c r="L44" s="712">
        <v>2.5883892432981224</v>
      </c>
    </row>
    <row r="45" spans="1:12" ht="15">
      <c r="A45" s="383"/>
      <c r="B45" s="340" t="s">
        <v>453</v>
      </c>
      <c r="C45" s="705"/>
      <c r="D45" s="705"/>
      <c r="E45" s="705"/>
      <c r="F45" s="705"/>
      <c r="G45" s="705"/>
      <c r="H45" s="700"/>
      <c r="I45" s="705"/>
      <c r="J45" s="705"/>
      <c r="K45" s="705"/>
      <c r="L45" s="705"/>
    </row>
    <row r="46" spans="1:12" ht="15">
      <c r="A46" s="383">
        <v>31</v>
      </c>
      <c r="B46" s="384" t="s">
        <v>460</v>
      </c>
      <c r="C46" s="708">
        <v>419370124.83249998</v>
      </c>
      <c r="D46" s="708"/>
      <c r="E46" s="708"/>
      <c r="F46" s="708"/>
      <c r="G46" s="708"/>
      <c r="H46" s="700"/>
      <c r="I46" s="708">
        <v>341912507.95999998</v>
      </c>
      <c r="J46" s="708">
        <v>348163384.24154007</v>
      </c>
      <c r="K46" s="708">
        <v>356775976.36613995</v>
      </c>
      <c r="L46" s="708">
        <v>356469174.88169992</v>
      </c>
    </row>
    <row r="47" spans="1:12" ht="15">
      <c r="A47" s="383">
        <v>32</v>
      </c>
      <c r="B47" s="384" t="s">
        <v>473</v>
      </c>
      <c r="C47" s="708">
        <v>276107215.12015742</v>
      </c>
      <c r="D47" s="708"/>
      <c r="E47" s="708"/>
      <c r="F47" s="708"/>
      <c r="G47" s="708"/>
      <c r="H47" s="700"/>
      <c r="I47" s="708">
        <v>195808685.04223257</v>
      </c>
      <c r="J47" s="708">
        <v>206747554.41234326</v>
      </c>
      <c r="K47" s="708">
        <v>229654932.88317424</v>
      </c>
      <c r="L47" s="708">
        <v>251401668.21025649</v>
      </c>
    </row>
    <row r="48" spans="1:12" thickBot="1">
      <c r="A48" s="83">
        <v>33</v>
      </c>
      <c r="B48" s="172" t="s">
        <v>487</v>
      </c>
      <c r="C48" s="747">
        <f>C46/C47</f>
        <v>1.5188669540924413</v>
      </c>
      <c r="D48" s="747"/>
      <c r="E48" s="747"/>
      <c r="F48" s="748"/>
      <c r="G48" s="748"/>
      <c r="H48" s="700"/>
      <c r="I48" s="747">
        <f>I46/I47</f>
        <v>1.7461559883631073</v>
      </c>
      <c r="J48" s="747">
        <f>J46/J47</f>
        <v>1.6840024310379653</v>
      </c>
      <c r="K48" s="748">
        <v>1.5535306465532459</v>
      </c>
      <c r="L48" s="748">
        <v>1.4179268475799118</v>
      </c>
    </row>
    <row r="49" spans="1:12">
      <c r="A49" s="20"/>
      <c r="C49" s="699"/>
      <c r="D49" s="699"/>
      <c r="E49" s="699"/>
      <c r="F49" s="699"/>
      <c r="G49" s="699"/>
      <c r="H49" s="698"/>
      <c r="I49" s="698"/>
      <c r="J49" s="698"/>
      <c r="K49" s="698"/>
      <c r="L49" s="698"/>
    </row>
    <row r="50" spans="1:12" ht="39.75">
      <c r="B50" s="23" t="s">
        <v>945</v>
      </c>
      <c r="C50" s="699"/>
      <c r="D50" s="699"/>
      <c r="E50" s="699"/>
      <c r="F50" s="699"/>
      <c r="G50" s="699"/>
      <c r="H50" s="698"/>
      <c r="I50" s="698"/>
      <c r="J50" s="698"/>
      <c r="K50" s="698"/>
      <c r="L50" s="698"/>
    </row>
    <row r="51" spans="1:12" ht="65.25">
      <c r="B51" s="252" t="s">
        <v>355</v>
      </c>
      <c r="C51" s="698"/>
      <c r="D51" s="699"/>
      <c r="E51" s="699"/>
      <c r="F51" s="699"/>
      <c r="G51" s="699"/>
      <c r="H51" s="698"/>
      <c r="I51" s="698"/>
      <c r="J51" s="698"/>
      <c r="K51" s="698"/>
      <c r="L51" s="698"/>
    </row>
    <row r="52" spans="1:12">
      <c r="C52" s="698"/>
      <c r="D52" s="699"/>
      <c r="E52" s="699"/>
      <c r="F52" s="699"/>
      <c r="G52" s="699"/>
      <c r="H52" s="700"/>
      <c r="I52" s="700"/>
      <c r="J52" s="700"/>
      <c r="K52" s="700"/>
      <c r="L52" s="700"/>
    </row>
    <row r="53" spans="1:12">
      <c r="C53" s="698"/>
      <c r="D53" s="699"/>
      <c r="E53" s="699"/>
      <c r="F53" s="699"/>
      <c r="G53" s="699"/>
      <c r="H53" s="698"/>
      <c r="I53" s="698"/>
      <c r="J53" s="698"/>
      <c r="K53" s="698"/>
      <c r="L53" s="698"/>
    </row>
    <row r="54" spans="1:12">
      <c r="C54" s="698"/>
      <c r="D54" s="699"/>
      <c r="E54" s="699"/>
      <c r="F54" s="699"/>
      <c r="G54" s="699"/>
      <c r="H54" s="700"/>
      <c r="I54" s="700"/>
      <c r="J54" s="700"/>
      <c r="K54" s="700"/>
      <c r="L54" s="700"/>
    </row>
    <row r="55" spans="1:12">
      <c r="C55" s="698"/>
      <c r="D55" s="699"/>
      <c r="E55" s="699"/>
      <c r="F55" s="699"/>
      <c r="G55" s="699"/>
      <c r="H55" s="700"/>
      <c r="I55" s="700"/>
      <c r="J55" s="700"/>
      <c r="K55" s="700"/>
      <c r="L55" s="700"/>
    </row>
    <row r="56" spans="1:12">
      <c r="C56" s="698"/>
      <c r="D56" s="699"/>
      <c r="E56" s="699"/>
      <c r="F56" s="699"/>
      <c r="G56" s="699"/>
      <c r="H56" s="700"/>
      <c r="I56" s="700"/>
      <c r="J56" s="700"/>
      <c r="K56" s="700"/>
      <c r="L56" s="700"/>
    </row>
    <row r="57" spans="1:12">
      <c r="C57" s="698"/>
      <c r="D57" s="699"/>
      <c r="E57" s="699"/>
      <c r="F57" s="699"/>
      <c r="G57" s="699"/>
      <c r="H57" s="700"/>
      <c r="I57" s="700"/>
      <c r="J57" s="700"/>
      <c r="K57" s="700"/>
      <c r="L57" s="700"/>
    </row>
    <row r="58" spans="1:12">
      <c r="C58" s="698"/>
      <c r="D58" s="699"/>
      <c r="E58" s="699"/>
      <c r="F58" s="699"/>
      <c r="G58" s="699"/>
      <c r="H58" s="700"/>
      <c r="I58" s="700"/>
      <c r="J58" s="700"/>
      <c r="K58" s="700"/>
      <c r="L58" s="700"/>
    </row>
    <row r="59" spans="1:12">
      <c r="C59" s="698"/>
      <c r="D59" s="699"/>
      <c r="E59" s="699"/>
      <c r="F59" s="699"/>
      <c r="G59" s="699"/>
      <c r="H59" s="700"/>
      <c r="I59" s="700"/>
      <c r="J59" s="700"/>
      <c r="K59" s="700"/>
      <c r="L59" s="700"/>
    </row>
    <row r="60" spans="1:12">
      <c r="C60" s="698"/>
      <c r="D60" s="699"/>
      <c r="E60" s="699"/>
      <c r="F60" s="699"/>
      <c r="G60" s="699"/>
      <c r="H60" s="700"/>
      <c r="I60" s="700"/>
      <c r="J60" s="700"/>
      <c r="K60" s="700"/>
      <c r="L60" s="700"/>
    </row>
    <row r="61" spans="1:12">
      <c r="C61" s="698"/>
      <c r="D61" s="699"/>
      <c r="E61" s="699"/>
      <c r="F61" s="699"/>
      <c r="G61" s="699"/>
      <c r="H61" s="700"/>
      <c r="I61" s="700"/>
      <c r="J61" s="700"/>
      <c r="K61" s="700"/>
      <c r="L61" s="700"/>
    </row>
    <row r="62" spans="1:12">
      <c r="C62" s="698"/>
      <c r="D62" s="699"/>
      <c r="E62" s="699"/>
      <c r="F62" s="699"/>
      <c r="G62" s="699"/>
      <c r="H62" s="700"/>
      <c r="I62" s="700"/>
      <c r="J62" s="700"/>
      <c r="K62" s="700"/>
      <c r="L62" s="700"/>
    </row>
    <row r="63" spans="1:12">
      <c r="C63" s="698"/>
      <c r="D63" s="699"/>
      <c r="E63" s="699"/>
      <c r="F63" s="699"/>
      <c r="G63" s="699"/>
      <c r="H63" s="700"/>
      <c r="I63" s="700"/>
      <c r="J63" s="700"/>
      <c r="K63" s="700"/>
      <c r="L63" s="700"/>
    </row>
    <row r="64" spans="1:12">
      <c r="C64" s="698"/>
      <c r="D64" s="699"/>
      <c r="E64" s="699"/>
      <c r="F64" s="699"/>
      <c r="G64" s="699"/>
      <c r="H64" s="700"/>
      <c r="I64" s="700"/>
      <c r="J64" s="700"/>
      <c r="K64" s="700"/>
      <c r="L64" s="700"/>
    </row>
    <row r="65" spans="3:12">
      <c r="C65" s="698"/>
      <c r="D65" s="699"/>
      <c r="E65" s="699"/>
      <c r="F65" s="699"/>
      <c r="G65" s="699"/>
      <c r="H65" s="700"/>
      <c r="I65" s="700"/>
      <c r="J65" s="700"/>
      <c r="K65" s="700"/>
      <c r="L65" s="700"/>
    </row>
    <row r="66" spans="3:12">
      <c r="C66" s="698"/>
      <c r="D66" s="699"/>
      <c r="E66" s="699"/>
      <c r="F66" s="699"/>
      <c r="G66" s="699"/>
      <c r="H66" s="700"/>
      <c r="I66" s="700"/>
      <c r="J66" s="700"/>
      <c r="K66" s="700"/>
      <c r="L66" s="700"/>
    </row>
    <row r="67" spans="3:12">
      <c r="C67" s="698"/>
      <c r="D67" s="699"/>
      <c r="E67" s="699"/>
      <c r="F67" s="699"/>
      <c r="G67" s="699"/>
      <c r="H67" s="700"/>
      <c r="I67" s="700"/>
      <c r="J67" s="700"/>
      <c r="K67" s="700"/>
      <c r="L67" s="700"/>
    </row>
    <row r="68" spans="3:12">
      <c r="C68" s="698"/>
      <c r="D68" s="699"/>
      <c r="E68" s="699"/>
      <c r="F68" s="699"/>
      <c r="G68" s="699"/>
      <c r="H68" s="700"/>
      <c r="I68" s="700"/>
      <c r="J68" s="700"/>
      <c r="K68" s="700"/>
      <c r="L68" s="700"/>
    </row>
    <row r="69" spans="3:12">
      <c r="C69" s="698"/>
      <c r="D69" s="699"/>
      <c r="E69" s="699"/>
      <c r="F69" s="699"/>
      <c r="G69" s="699"/>
      <c r="H69" s="700"/>
      <c r="I69" s="700"/>
      <c r="J69" s="700"/>
      <c r="K69" s="700"/>
      <c r="L69" s="700"/>
    </row>
    <row r="70" spans="3:12">
      <c r="C70" s="698"/>
      <c r="D70" s="699"/>
      <c r="E70" s="699"/>
      <c r="F70" s="699"/>
      <c r="G70" s="699"/>
      <c r="H70" s="700"/>
      <c r="I70" s="700"/>
      <c r="J70" s="700"/>
      <c r="K70" s="700"/>
      <c r="L70" s="700"/>
    </row>
    <row r="71" spans="3:12">
      <c r="C71" s="698"/>
      <c r="D71" s="699"/>
      <c r="E71" s="699"/>
      <c r="F71" s="699"/>
      <c r="G71" s="699"/>
      <c r="H71" s="700"/>
      <c r="I71" s="700"/>
      <c r="J71" s="700"/>
      <c r="K71" s="700"/>
      <c r="L71" s="700"/>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13" sqref="C13:G19"/>
    </sheetView>
  </sheetViews>
  <sheetFormatPr defaultColWidth="9.28515625" defaultRowHeight="12.75"/>
  <cols>
    <col min="1" max="1" width="11.7109375" style="391" bestFit="1" customWidth="1"/>
    <col min="2" max="2" width="105.28515625" style="391" bestFit="1" customWidth="1"/>
    <col min="3" max="3" width="15.28515625" style="706" bestFit="1" customWidth="1"/>
    <col min="4" max="4" width="14.28515625" style="706" bestFit="1" customWidth="1"/>
    <col min="5" max="5" width="17.5703125" style="706" bestFit="1" customWidth="1"/>
    <col min="6" max="6" width="14.28515625" style="706" bestFit="1" customWidth="1"/>
    <col min="7" max="7" width="30.42578125" style="706" customWidth="1"/>
    <col min="8" max="8" width="15.140625" style="706" bestFit="1" customWidth="1"/>
    <col min="9" max="16384" width="9.28515625" style="391"/>
  </cols>
  <sheetData>
    <row r="1" spans="1:8" ht="13.5">
      <c r="A1" s="390" t="s">
        <v>108</v>
      </c>
      <c r="B1" s="316" t="str">
        <f>Info!C2</f>
        <v>JSC "VTB Bank (Georgia)"</v>
      </c>
    </row>
    <row r="2" spans="1:8">
      <c r="A2" s="392" t="s">
        <v>109</v>
      </c>
      <c r="B2" s="394">
        <f>Info!D2</f>
        <v>45291</v>
      </c>
    </row>
    <row r="3" spans="1:8">
      <c r="A3" s="393" t="s">
        <v>493</v>
      </c>
    </row>
    <row r="5" spans="1:8">
      <c r="A5" s="844" t="s">
        <v>494</v>
      </c>
      <c r="B5" s="845"/>
      <c r="C5" s="850" t="s">
        <v>495</v>
      </c>
      <c r="D5" s="851"/>
      <c r="E5" s="851"/>
      <c r="F5" s="851"/>
      <c r="G5" s="851"/>
      <c r="H5" s="852"/>
    </row>
    <row r="6" spans="1:8">
      <c r="A6" s="846"/>
      <c r="B6" s="847"/>
      <c r="C6" s="853"/>
      <c r="D6" s="854"/>
      <c r="E6" s="854"/>
      <c r="F6" s="854"/>
      <c r="G6" s="854"/>
      <c r="H6" s="855"/>
    </row>
    <row r="7" spans="1:8" ht="25.5">
      <c r="A7" s="848"/>
      <c r="B7" s="849"/>
      <c r="C7" s="648" t="s">
        <v>496</v>
      </c>
      <c r="D7" s="648" t="s">
        <v>497</v>
      </c>
      <c r="E7" s="648" t="s">
        <v>498</v>
      </c>
      <c r="F7" s="648" t="s">
        <v>499</v>
      </c>
      <c r="G7" s="647" t="s">
        <v>679</v>
      </c>
      <c r="H7" s="648" t="s">
        <v>66</v>
      </c>
    </row>
    <row r="8" spans="1:8">
      <c r="A8" s="490">
        <v>1</v>
      </c>
      <c r="B8" s="489" t="s">
        <v>134</v>
      </c>
      <c r="C8" s="650">
        <v>351</v>
      </c>
      <c r="D8" s="650">
        <v>0.36000000000001364</v>
      </c>
      <c r="E8" s="650">
        <v>0</v>
      </c>
      <c r="F8" s="650">
        <v>0</v>
      </c>
      <c r="G8" s="650"/>
      <c r="H8" s="650">
        <f t="shared" ref="H8:H20" si="0">SUM(C8:G8)</f>
        <v>351.36</v>
      </c>
    </row>
    <row r="9" spans="1:8">
      <c r="A9" s="490">
        <v>2</v>
      </c>
      <c r="B9" s="489" t="s">
        <v>135</v>
      </c>
      <c r="C9" s="650"/>
      <c r="D9" s="650"/>
      <c r="E9" s="650"/>
      <c r="F9" s="650"/>
      <c r="G9" s="650"/>
      <c r="H9" s="650">
        <f t="shared" si="0"/>
        <v>0</v>
      </c>
    </row>
    <row r="10" spans="1:8">
      <c r="A10" s="490">
        <v>3</v>
      </c>
      <c r="B10" s="489" t="s">
        <v>136</v>
      </c>
      <c r="C10" s="650"/>
      <c r="D10" s="650"/>
      <c r="E10" s="650"/>
      <c r="F10" s="650"/>
      <c r="G10" s="650"/>
      <c r="H10" s="650">
        <f t="shared" si="0"/>
        <v>0</v>
      </c>
    </row>
    <row r="11" spans="1:8">
      <c r="A11" s="490">
        <v>4</v>
      </c>
      <c r="B11" s="489" t="s">
        <v>137</v>
      </c>
      <c r="C11" s="650"/>
      <c r="D11" s="650"/>
      <c r="E11" s="650"/>
      <c r="F11" s="650"/>
      <c r="G11" s="650"/>
      <c r="H11" s="650">
        <f t="shared" si="0"/>
        <v>0</v>
      </c>
    </row>
    <row r="12" spans="1:8">
      <c r="A12" s="490">
        <v>5</v>
      </c>
      <c r="B12" s="489" t="s">
        <v>949</v>
      </c>
      <c r="C12" s="650"/>
      <c r="D12" s="650"/>
      <c r="E12" s="650"/>
      <c r="F12" s="650"/>
      <c r="G12" s="650"/>
      <c r="H12" s="650">
        <f t="shared" si="0"/>
        <v>0</v>
      </c>
    </row>
    <row r="13" spans="1:8">
      <c r="A13" s="490">
        <v>6</v>
      </c>
      <c r="B13" s="489" t="s">
        <v>138</v>
      </c>
      <c r="C13" s="768">
        <v>6580306.1841320535</v>
      </c>
      <c r="D13" s="768">
        <v>116778.2856</v>
      </c>
      <c r="E13" s="768">
        <v>0</v>
      </c>
      <c r="F13" s="768">
        <v>0</v>
      </c>
      <c r="G13" s="768"/>
      <c r="H13" s="650">
        <f t="shared" si="0"/>
        <v>6697084.4697320536</v>
      </c>
    </row>
    <row r="14" spans="1:8">
      <c r="A14" s="490">
        <v>7</v>
      </c>
      <c r="B14" s="489" t="s">
        <v>71</v>
      </c>
      <c r="C14" s="768">
        <v>0</v>
      </c>
      <c r="D14" s="768">
        <v>68945161.56279999</v>
      </c>
      <c r="E14" s="768">
        <v>51462345.948484279</v>
      </c>
      <c r="F14" s="768">
        <v>43568122.459299996</v>
      </c>
      <c r="G14" s="768">
        <v>24989582.2918</v>
      </c>
      <c r="H14" s="650">
        <f t="shared" si="0"/>
        <v>188965212.26238427</v>
      </c>
    </row>
    <row r="15" spans="1:8">
      <c r="A15" s="490">
        <v>8</v>
      </c>
      <c r="B15" s="491" t="s">
        <v>72</v>
      </c>
      <c r="C15" s="768">
        <v>0</v>
      </c>
      <c r="D15" s="768">
        <v>0</v>
      </c>
      <c r="E15" s="768">
        <v>0</v>
      </c>
      <c r="F15" s="768">
        <v>0</v>
      </c>
      <c r="G15" s="768">
        <v>0</v>
      </c>
      <c r="H15" s="650">
        <f t="shared" si="0"/>
        <v>0</v>
      </c>
    </row>
    <row r="16" spans="1:8">
      <c r="A16" s="490">
        <v>9</v>
      </c>
      <c r="B16" s="489" t="s">
        <v>950</v>
      </c>
      <c r="C16" s="768">
        <v>0</v>
      </c>
      <c r="D16" s="768">
        <v>22320.988099999999</v>
      </c>
      <c r="E16" s="768">
        <v>1705826.559712816</v>
      </c>
      <c r="F16" s="768">
        <v>5832899.2889999999</v>
      </c>
      <c r="G16" s="768">
        <v>0</v>
      </c>
      <c r="H16" s="650">
        <f t="shared" si="0"/>
        <v>7561046.8368128156</v>
      </c>
    </row>
    <row r="17" spans="1:8">
      <c r="A17" s="490">
        <v>10</v>
      </c>
      <c r="B17" s="493" t="s">
        <v>514</v>
      </c>
      <c r="C17" s="768">
        <v>0</v>
      </c>
      <c r="D17" s="768">
        <v>7691729.8963000001</v>
      </c>
      <c r="E17" s="768">
        <v>31225872.621368907</v>
      </c>
      <c r="F17" s="768">
        <v>0</v>
      </c>
      <c r="G17" s="768">
        <v>24989582.2918</v>
      </c>
      <c r="H17" s="650">
        <f t="shared" si="0"/>
        <v>63907184.80946891</v>
      </c>
    </row>
    <row r="18" spans="1:8">
      <c r="A18" s="490">
        <v>11</v>
      </c>
      <c r="B18" s="489" t="s">
        <v>68</v>
      </c>
      <c r="C18" s="768">
        <v>0</v>
      </c>
      <c r="D18" s="768">
        <v>0</v>
      </c>
      <c r="E18" s="768">
        <v>0</v>
      </c>
      <c r="F18" s="768">
        <v>0</v>
      </c>
      <c r="G18" s="768">
        <v>0</v>
      </c>
      <c r="H18" s="650">
        <f t="shared" si="0"/>
        <v>0</v>
      </c>
    </row>
    <row r="19" spans="1:8">
      <c r="A19" s="490">
        <v>12</v>
      </c>
      <c r="B19" s="489" t="s">
        <v>69</v>
      </c>
      <c r="C19" s="768"/>
      <c r="D19" s="768"/>
      <c r="E19" s="768"/>
      <c r="F19" s="768"/>
      <c r="G19" s="768"/>
      <c r="H19" s="650">
        <f t="shared" si="0"/>
        <v>0</v>
      </c>
    </row>
    <row r="20" spans="1:8">
      <c r="A20" s="492">
        <v>13</v>
      </c>
      <c r="B20" s="491" t="s">
        <v>70</v>
      </c>
      <c r="C20" s="650"/>
      <c r="D20" s="650"/>
      <c r="E20" s="650"/>
      <c r="F20" s="650"/>
      <c r="G20" s="650"/>
      <c r="H20" s="650">
        <f t="shared" si="0"/>
        <v>0</v>
      </c>
    </row>
    <row r="21" spans="1:8">
      <c r="A21" s="490">
        <v>14</v>
      </c>
      <c r="B21" s="489" t="s">
        <v>500</v>
      </c>
      <c r="C21" s="650">
        <v>146554453</v>
      </c>
      <c r="D21" s="650">
        <v>16230955.565237271</v>
      </c>
      <c r="E21" s="650">
        <v>2037004.7324000001</v>
      </c>
      <c r="F21" s="650">
        <v>0</v>
      </c>
      <c r="G21" s="650">
        <v>85962897</v>
      </c>
      <c r="H21" s="650">
        <f>SUM(C21:G21)</f>
        <v>250785310.29763728</v>
      </c>
    </row>
    <row r="22" spans="1:8">
      <c r="A22" s="488">
        <v>15</v>
      </c>
      <c r="B22" s="487" t="s">
        <v>66</v>
      </c>
      <c r="C22" s="650">
        <f>SUM(C18:C21)+SUM(C8:C16)</f>
        <v>153135110.18413204</v>
      </c>
      <c r="D22" s="650">
        <f t="shared" ref="D22:H22" si="1">SUM(D18:D21)+SUM(D8:D16)</f>
        <v>85315216.761737272</v>
      </c>
      <c r="E22" s="650">
        <f t="shared" si="1"/>
        <v>55205177.240597099</v>
      </c>
      <c r="F22" s="650">
        <f t="shared" si="1"/>
        <v>49401021.748299994</v>
      </c>
      <c r="G22" s="650">
        <f t="shared" si="1"/>
        <v>110952479.29179999</v>
      </c>
      <c r="H22" s="650">
        <f t="shared" si="1"/>
        <v>454009005.22656643</v>
      </c>
    </row>
    <row r="23" spans="1:8">
      <c r="H23" s="706">
        <f>H22-'13. CRME'!C22</f>
        <v>0.36000001430511475</v>
      </c>
    </row>
    <row r="26" spans="1:8" ht="38.25">
      <c r="B26" s="411"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6"/>
  <sheetViews>
    <sheetView showGridLines="0" topLeftCell="B4" zoomScale="85" zoomScaleNormal="85" workbookViewId="0">
      <selection activeCell="J22" sqref="J22"/>
    </sheetView>
  </sheetViews>
  <sheetFormatPr defaultColWidth="9.28515625" defaultRowHeight="12.75"/>
  <cols>
    <col min="1" max="1" width="11.7109375" style="395" bestFit="1" customWidth="1"/>
    <col min="2" max="2" width="86.7109375" style="391" customWidth="1"/>
    <col min="3" max="4" width="31.5703125" style="391" customWidth="1"/>
    <col min="5" max="5" width="16.42578125" style="397" bestFit="1" customWidth="1"/>
    <col min="6" max="6" width="14.28515625" style="397" bestFit="1" customWidth="1"/>
    <col min="7" max="7" width="20" style="391" bestFit="1" customWidth="1"/>
    <col min="8" max="8" width="23.7109375" style="391" customWidth="1"/>
    <col min="9" max="16384" width="9.28515625" style="391"/>
  </cols>
  <sheetData>
    <row r="1" spans="1:9" ht="13.5">
      <c r="A1" s="390" t="s">
        <v>108</v>
      </c>
      <c r="B1" s="316" t="str">
        <f>Info!C2</f>
        <v>JSC "VTB Bank (Georgia)"</v>
      </c>
      <c r="C1" s="505"/>
      <c r="D1" s="505"/>
      <c r="E1" s="505"/>
      <c r="F1" s="505"/>
      <c r="G1" s="505"/>
      <c r="H1" s="505"/>
    </row>
    <row r="2" spans="1:9">
      <c r="A2" s="392" t="s">
        <v>109</v>
      </c>
      <c r="B2" s="394">
        <f>Info!D2</f>
        <v>45291</v>
      </c>
      <c r="C2" s="505"/>
      <c r="D2" s="505"/>
      <c r="E2" s="505"/>
      <c r="F2" s="505"/>
      <c r="G2" s="505"/>
      <c r="H2" s="505"/>
    </row>
    <row r="3" spans="1:9">
      <c r="A3" s="393" t="s">
        <v>501</v>
      </c>
      <c r="B3" s="505"/>
      <c r="C3" s="505"/>
      <c r="D3" s="505"/>
      <c r="E3" s="505"/>
      <c r="F3" s="505"/>
      <c r="G3" s="505"/>
      <c r="H3" s="505"/>
    </row>
    <row r="4" spans="1:9">
      <c r="A4" s="506"/>
      <c r="B4" s="505"/>
      <c r="C4" s="504" t="s">
        <v>502</v>
      </c>
      <c r="D4" s="504" t="s">
        <v>503</v>
      </c>
      <c r="E4" s="504" t="s">
        <v>504</v>
      </c>
      <c r="F4" s="504" t="s">
        <v>505</v>
      </c>
      <c r="G4" s="504" t="s">
        <v>506</v>
      </c>
      <c r="H4" s="504" t="s">
        <v>507</v>
      </c>
    </row>
    <row r="5" spans="1:9" ht="34.15" customHeight="1">
      <c r="A5" s="844" t="s">
        <v>867</v>
      </c>
      <c r="B5" s="845"/>
      <c r="C5" s="858" t="s">
        <v>596</v>
      </c>
      <c r="D5" s="858"/>
      <c r="E5" s="858" t="s">
        <v>866</v>
      </c>
      <c r="F5" s="856" t="s">
        <v>865</v>
      </c>
      <c r="G5" s="856" t="s">
        <v>511</v>
      </c>
      <c r="H5" s="502" t="s">
        <v>864</v>
      </c>
    </row>
    <row r="6" spans="1:9" ht="25.5">
      <c r="A6" s="848"/>
      <c r="B6" s="849"/>
      <c r="C6" s="503" t="s">
        <v>512</v>
      </c>
      <c r="D6" s="503" t="s">
        <v>513</v>
      </c>
      <c r="E6" s="858"/>
      <c r="F6" s="857"/>
      <c r="G6" s="857"/>
      <c r="H6" s="502" t="s">
        <v>863</v>
      </c>
    </row>
    <row r="7" spans="1:9">
      <c r="A7" s="500">
        <v>1</v>
      </c>
      <c r="B7" s="489" t="s">
        <v>134</v>
      </c>
      <c r="C7" s="769"/>
      <c r="D7" s="769">
        <v>351</v>
      </c>
      <c r="E7" s="770"/>
      <c r="F7" s="770"/>
      <c r="G7" s="769"/>
      <c r="H7" s="645">
        <f t="shared" ref="H7:H20" si="0">C7+D7-E7-F7</f>
        <v>351</v>
      </c>
    </row>
    <row r="8" spans="1:9" ht="25.15" customHeight="1">
      <c r="A8" s="500">
        <v>2</v>
      </c>
      <c r="B8" s="489" t="s">
        <v>135</v>
      </c>
      <c r="C8" s="769"/>
      <c r="D8" s="769"/>
      <c r="E8" s="770"/>
      <c r="F8" s="770"/>
      <c r="G8" s="769"/>
      <c r="H8" s="645">
        <f t="shared" si="0"/>
        <v>0</v>
      </c>
    </row>
    <row r="9" spans="1:9">
      <c r="A9" s="500">
        <v>3</v>
      </c>
      <c r="B9" s="489" t="s">
        <v>136</v>
      </c>
      <c r="C9" s="769"/>
      <c r="D9" s="769"/>
      <c r="E9" s="770"/>
      <c r="F9" s="770"/>
      <c r="G9" s="769"/>
      <c r="H9" s="645">
        <f t="shared" si="0"/>
        <v>0</v>
      </c>
    </row>
    <row r="10" spans="1:9">
      <c r="A10" s="500">
        <v>4</v>
      </c>
      <c r="B10" s="489" t="s">
        <v>137</v>
      </c>
      <c r="C10" s="769"/>
      <c r="D10" s="769"/>
      <c r="E10" s="770"/>
      <c r="F10" s="770"/>
      <c r="G10" s="769"/>
      <c r="H10" s="645">
        <f t="shared" si="0"/>
        <v>0</v>
      </c>
    </row>
    <row r="11" spans="1:9">
      <c r="A11" s="500">
        <v>5</v>
      </c>
      <c r="B11" s="489" t="s">
        <v>949</v>
      </c>
      <c r="C11" s="769"/>
      <c r="D11" s="769"/>
      <c r="E11" s="770"/>
      <c r="F11" s="770"/>
      <c r="G11" s="769"/>
      <c r="H11" s="645">
        <f t="shared" si="0"/>
        <v>0</v>
      </c>
    </row>
    <row r="12" spans="1:9">
      <c r="A12" s="500">
        <v>6</v>
      </c>
      <c r="B12" s="489" t="s">
        <v>138</v>
      </c>
      <c r="C12" s="769"/>
      <c r="D12" s="769">
        <v>6697084.4697320536</v>
      </c>
      <c r="E12" s="770"/>
      <c r="F12" s="770"/>
      <c r="G12" s="769"/>
      <c r="H12" s="645">
        <f t="shared" si="0"/>
        <v>6697084.4697320536</v>
      </c>
      <c r="I12" s="681">
        <f>H12-' 17. Residual Maturity'!H13</f>
        <v>0</v>
      </c>
    </row>
    <row r="13" spans="1:9">
      <c r="A13" s="500">
        <v>7</v>
      </c>
      <c r="B13" s="489" t="s">
        <v>71</v>
      </c>
      <c r="C13" s="769">
        <v>53198536.5066</v>
      </c>
      <c r="D13" s="769">
        <v>149051209.95298439</v>
      </c>
      <c r="E13" s="770">
        <v>13284534.197200105</v>
      </c>
      <c r="F13" s="770">
        <v>0</v>
      </c>
      <c r="G13" s="769"/>
      <c r="H13" s="645">
        <f t="shared" si="0"/>
        <v>188965212.2623843</v>
      </c>
      <c r="I13" s="681">
        <f>H13-' 17. Residual Maturity'!H14</f>
        <v>0</v>
      </c>
    </row>
    <row r="14" spans="1:9">
      <c r="A14" s="500">
        <v>8</v>
      </c>
      <c r="B14" s="491" t="s">
        <v>72</v>
      </c>
      <c r="C14" s="769">
        <v>328232.69</v>
      </c>
      <c r="D14" s="769">
        <v>0</v>
      </c>
      <c r="E14" s="769">
        <v>328232.69</v>
      </c>
      <c r="F14" s="770">
        <v>0</v>
      </c>
      <c r="G14" s="769"/>
      <c r="H14" s="645">
        <f t="shared" si="0"/>
        <v>0</v>
      </c>
      <c r="I14" s="681">
        <f>H14-' 17. Residual Maturity'!H15</f>
        <v>0</v>
      </c>
    </row>
    <row r="15" spans="1:9" ht="24">
      <c r="A15" s="500">
        <v>9</v>
      </c>
      <c r="B15" s="489" t="s">
        <v>950</v>
      </c>
      <c r="C15" s="769">
        <v>256164.22839999999</v>
      </c>
      <c r="D15" s="769">
        <v>7577490.6439128155</v>
      </c>
      <c r="E15" s="770">
        <v>272608.03550000006</v>
      </c>
      <c r="F15" s="770">
        <v>0</v>
      </c>
      <c r="G15" s="769"/>
      <c r="H15" s="645">
        <f t="shared" si="0"/>
        <v>7561046.8368128156</v>
      </c>
      <c r="I15" s="681">
        <f>H15-' 17. Residual Maturity'!H16</f>
        <v>0</v>
      </c>
    </row>
    <row r="16" spans="1:9">
      <c r="A16" s="500">
        <v>10</v>
      </c>
      <c r="B16" s="493" t="s">
        <v>514</v>
      </c>
      <c r="C16" s="769">
        <v>36385353.786600001</v>
      </c>
      <c r="D16" s="769">
        <v>41269200.693168908</v>
      </c>
      <c r="E16" s="770">
        <v>13747369.670299999</v>
      </c>
      <c r="F16" s="770">
        <v>0</v>
      </c>
      <c r="G16" s="769"/>
      <c r="H16" s="645">
        <f t="shared" si="0"/>
        <v>63907184.809468903</v>
      </c>
      <c r="I16" s="681">
        <f>H16-' 17. Residual Maturity'!H17</f>
        <v>0</v>
      </c>
    </row>
    <row r="17" spans="1:8">
      <c r="A17" s="500">
        <v>11</v>
      </c>
      <c r="B17" s="489" t="s">
        <v>68</v>
      </c>
      <c r="C17" s="769">
        <v>0</v>
      </c>
      <c r="D17" s="769">
        <v>0</v>
      </c>
      <c r="E17" s="770">
        <v>0</v>
      </c>
      <c r="F17" s="770">
        <v>0</v>
      </c>
      <c r="G17" s="769"/>
      <c r="H17" s="645">
        <f t="shared" si="0"/>
        <v>0</v>
      </c>
    </row>
    <row r="18" spans="1:8">
      <c r="A18" s="500">
        <v>12</v>
      </c>
      <c r="B18" s="489" t="s">
        <v>69</v>
      </c>
      <c r="C18" s="769"/>
      <c r="D18" s="769"/>
      <c r="E18" s="770"/>
      <c r="F18" s="770"/>
      <c r="G18" s="769"/>
      <c r="H18" s="645">
        <f t="shared" si="0"/>
        <v>0</v>
      </c>
    </row>
    <row r="19" spans="1:8">
      <c r="A19" s="501">
        <v>13</v>
      </c>
      <c r="B19" s="491" t="s">
        <v>70</v>
      </c>
      <c r="C19" s="769"/>
      <c r="D19" s="769"/>
      <c r="E19" s="770"/>
      <c r="F19" s="770"/>
      <c r="G19" s="769"/>
      <c r="H19" s="645">
        <f t="shared" si="0"/>
        <v>0</v>
      </c>
    </row>
    <row r="20" spans="1:8">
      <c r="A20" s="500">
        <v>14</v>
      </c>
      <c r="B20" s="489" t="s">
        <v>500</v>
      </c>
      <c r="C20" s="769">
        <v>1720585</v>
      </c>
      <c r="D20" s="769">
        <v>250386502</v>
      </c>
      <c r="E20" s="770">
        <v>94529.712362706603</v>
      </c>
      <c r="F20" s="770">
        <v>0</v>
      </c>
      <c r="G20" s="769"/>
      <c r="H20" s="645">
        <f t="shared" si="0"/>
        <v>252012557.28763729</v>
      </c>
    </row>
    <row r="21" spans="1:8" s="396" customFormat="1">
      <c r="A21" s="499">
        <v>15</v>
      </c>
      <c r="B21" s="498" t="s">
        <v>66</v>
      </c>
      <c r="C21" s="771">
        <f>SUM(C7:C15)+SUM(C17:C20)</f>
        <v>55503518.424999997</v>
      </c>
      <c r="D21" s="771">
        <f t="shared" ref="D21:G21" si="1">SUM(D7:D15)+SUM(D17:D20)</f>
        <v>413712638.06662929</v>
      </c>
      <c r="E21" s="771">
        <f>SUM(E7:E15)+SUM(E17:E20)</f>
        <v>13979904.63506281</v>
      </c>
      <c r="F21" s="771">
        <f t="shared" si="1"/>
        <v>0</v>
      </c>
      <c r="G21" s="771">
        <f t="shared" si="1"/>
        <v>0</v>
      </c>
      <c r="H21" s="645">
        <f t="shared" ref="H21" si="2">SUM(H7:H15)+SUM(H17:H20)</f>
        <v>455236251.85656643</v>
      </c>
    </row>
    <row r="22" spans="1:8">
      <c r="A22" s="497">
        <v>16</v>
      </c>
      <c r="B22" s="496" t="s">
        <v>515</v>
      </c>
      <c r="C22" s="769">
        <v>53782933.134999998</v>
      </c>
      <c r="D22" s="769">
        <v>156628698.94520003</v>
      </c>
      <c r="E22" s="770">
        <v>13885374.922700102</v>
      </c>
      <c r="F22" s="770">
        <v>0</v>
      </c>
      <c r="G22" s="769"/>
      <c r="H22" s="645">
        <f>C22+D22-E22-F22</f>
        <v>196526257.15749991</v>
      </c>
    </row>
    <row r="23" spans="1:8">
      <c r="A23" s="497">
        <v>17</v>
      </c>
      <c r="B23" s="496" t="s">
        <v>516</v>
      </c>
      <c r="C23" s="684"/>
      <c r="D23" s="684"/>
      <c r="E23" s="646"/>
      <c r="F23" s="646"/>
      <c r="G23" s="684"/>
      <c r="H23" s="645">
        <f>C23+D23-E23-F23</f>
        <v>0</v>
      </c>
    </row>
    <row r="24" spans="1:8">
      <c r="C24" s="706"/>
      <c r="D24" s="706"/>
      <c r="E24" s="707"/>
      <c r="F24" s="707"/>
      <c r="G24" s="706"/>
      <c r="H24" s="706">
        <f>H21-'7. LI1'!C37</f>
        <v>0.81749999523162842</v>
      </c>
    </row>
    <row r="25" spans="1:8">
      <c r="E25" s="391"/>
      <c r="F25" s="391"/>
      <c r="H25" s="681">
        <f>'2. SOFP'!E36-H21</f>
        <v>0</v>
      </c>
    </row>
    <row r="26" spans="1:8" ht="42.4" customHeight="1">
      <c r="B26" s="411" t="s">
        <v>678</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zoomScale="70" zoomScaleNormal="70" workbookViewId="0">
      <selection activeCell="C7" sqref="C7:G33"/>
    </sheetView>
  </sheetViews>
  <sheetFormatPr defaultColWidth="9.28515625" defaultRowHeight="12.75"/>
  <cols>
    <col min="1" max="1" width="11" style="391" bestFit="1" customWidth="1"/>
    <col min="2" max="2" width="93.42578125" style="391" customWidth="1"/>
    <col min="3" max="3" width="35" style="391" customWidth="1"/>
    <col min="4" max="4" width="35.140625" style="391" customWidth="1"/>
    <col min="5" max="7" width="22" style="391" customWidth="1"/>
    <col min="8" max="8" width="29.7109375" style="391" bestFit="1" customWidth="1"/>
    <col min="9" max="16384" width="9.28515625" style="391"/>
  </cols>
  <sheetData>
    <row r="1" spans="1:8" ht="13.5">
      <c r="A1" s="390" t="s">
        <v>108</v>
      </c>
      <c r="B1" s="316" t="str">
        <f>Info!C2</f>
        <v>JSC "VTB Bank (Georgia)"</v>
      </c>
      <c r="C1" s="505"/>
      <c r="D1" s="505"/>
      <c r="E1" s="505"/>
      <c r="F1" s="505"/>
      <c r="G1" s="505"/>
      <c r="H1" s="505"/>
    </row>
    <row r="2" spans="1:8">
      <c r="A2" s="392" t="s">
        <v>109</v>
      </c>
      <c r="B2" s="394">
        <f>Info!D2</f>
        <v>45291</v>
      </c>
      <c r="C2" s="505"/>
      <c r="D2" s="505"/>
      <c r="E2" s="505"/>
      <c r="F2" s="505"/>
      <c r="G2" s="505"/>
      <c r="H2" s="505"/>
    </row>
    <row r="3" spans="1:8">
      <c r="A3" s="393" t="s">
        <v>517</v>
      </c>
      <c r="B3" s="505"/>
      <c r="C3" s="505"/>
      <c r="D3" s="505"/>
      <c r="E3" s="505"/>
      <c r="F3" s="505"/>
      <c r="G3" s="505"/>
      <c r="H3" s="505"/>
    </row>
    <row r="4" spans="1:8" ht="14.45" customHeight="1">
      <c r="A4" s="505"/>
      <c r="B4" s="505"/>
      <c r="C4" s="504" t="s">
        <v>502</v>
      </c>
      <c r="D4" s="504" t="s">
        <v>503</v>
      </c>
      <c r="E4" s="504" t="s">
        <v>504</v>
      </c>
      <c r="F4" s="504" t="s">
        <v>505</v>
      </c>
      <c r="G4" s="504" t="s">
        <v>506</v>
      </c>
      <c r="H4" s="504" t="s">
        <v>507</v>
      </c>
    </row>
    <row r="5" spans="1:8" ht="27.6" customHeight="1">
      <c r="A5" s="844" t="s">
        <v>869</v>
      </c>
      <c r="B5" s="845"/>
      <c r="C5" s="859" t="s">
        <v>596</v>
      </c>
      <c r="D5" s="860"/>
      <c r="E5" s="856" t="s">
        <v>866</v>
      </c>
      <c r="F5" s="856" t="s">
        <v>865</v>
      </c>
      <c r="G5" s="856" t="s">
        <v>511</v>
      </c>
      <c r="H5" s="502" t="s">
        <v>864</v>
      </c>
    </row>
    <row r="6" spans="1:8" ht="25.5">
      <c r="A6" s="848"/>
      <c r="B6" s="849"/>
      <c r="C6" s="503" t="s">
        <v>512</v>
      </c>
      <c r="D6" s="503" t="s">
        <v>513</v>
      </c>
      <c r="E6" s="857"/>
      <c r="F6" s="857"/>
      <c r="G6" s="857"/>
      <c r="H6" s="502" t="s">
        <v>863</v>
      </c>
    </row>
    <row r="7" spans="1:8">
      <c r="A7" s="494">
        <v>1</v>
      </c>
      <c r="B7" s="509" t="s">
        <v>518</v>
      </c>
      <c r="C7" s="684">
        <v>320782.15000000002</v>
      </c>
      <c r="D7" s="684">
        <f>('18. Assets by Exposure classes'!D7)+0</f>
        <v>351</v>
      </c>
      <c r="E7" s="684">
        <v>276789.16942857101</v>
      </c>
      <c r="F7" s="684">
        <v>0</v>
      </c>
      <c r="G7" s="684"/>
      <c r="H7" s="645">
        <f t="shared" ref="H7:H34" si="0">C7+D7-E7-F7</f>
        <v>44343.980571429012</v>
      </c>
    </row>
    <row r="8" spans="1:8">
      <c r="A8" s="494">
        <v>2</v>
      </c>
      <c r="B8" s="509" t="s">
        <v>519</v>
      </c>
      <c r="C8" s="684">
        <v>0</v>
      </c>
      <c r="D8" s="684">
        <f>('18. Assets by Exposure classes'!D12)+0</f>
        <v>6697084.4697320536</v>
      </c>
      <c r="E8" s="684">
        <v>0</v>
      </c>
      <c r="F8" s="684">
        <v>0</v>
      </c>
      <c r="G8" s="684"/>
      <c r="H8" s="645">
        <f t="shared" si="0"/>
        <v>6697084.4697320536</v>
      </c>
    </row>
    <row r="9" spans="1:8">
      <c r="A9" s="494">
        <v>3</v>
      </c>
      <c r="B9" s="509" t="s">
        <v>868</v>
      </c>
      <c r="C9" s="684">
        <v>6888390.9598000003</v>
      </c>
      <c r="D9" s="684">
        <v>0</v>
      </c>
      <c r="E9" s="684">
        <v>808054.04195817222</v>
      </c>
      <c r="F9" s="684">
        <v>0</v>
      </c>
      <c r="G9" s="684"/>
      <c r="H9" s="645">
        <f t="shared" si="0"/>
        <v>6080336.9178418284</v>
      </c>
    </row>
    <row r="10" spans="1:8">
      <c r="A10" s="494">
        <v>4</v>
      </c>
      <c r="B10" s="509" t="s">
        <v>520</v>
      </c>
      <c r="C10" s="684">
        <v>707359.80233600002</v>
      </c>
      <c r="D10" s="684">
        <v>7535682.4250999996</v>
      </c>
      <c r="E10" s="684">
        <v>93458.104282343382</v>
      </c>
      <c r="F10" s="684">
        <v>0</v>
      </c>
      <c r="G10" s="684"/>
      <c r="H10" s="645">
        <f t="shared" si="0"/>
        <v>8149584.1231536558</v>
      </c>
    </row>
    <row r="11" spans="1:8">
      <c r="A11" s="494">
        <v>5</v>
      </c>
      <c r="B11" s="509" t="s">
        <v>521</v>
      </c>
      <c r="C11" s="684">
        <v>0</v>
      </c>
      <c r="D11" s="684">
        <v>0</v>
      </c>
      <c r="E11" s="684">
        <v>0</v>
      </c>
      <c r="F11" s="684">
        <v>0</v>
      </c>
      <c r="G11" s="684"/>
      <c r="H11" s="645">
        <f t="shared" si="0"/>
        <v>0</v>
      </c>
    </row>
    <row r="12" spans="1:8">
      <c r="A12" s="494">
        <v>6</v>
      </c>
      <c r="B12" s="509" t="s">
        <v>522</v>
      </c>
      <c r="C12" s="684">
        <v>0</v>
      </c>
      <c r="D12" s="684">
        <v>0</v>
      </c>
      <c r="E12" s="684">
        <v>0</v>
      </c>
      <c r="F12" s="684">
        <v>0</v>
      </c>
      <c r="G12" s="684"/>
      <c r="H12" s="645">
        <f t="shared" si="0"/>
        <v>0</v>
      </c>
    </row>
    <row r="13" spans="1:8">
      <c r="A13" s="494">
        <v>7</v>
      </c>
      <c r="B13" s="509" t="s">
        <v>523</v>
      </c>
      <c r="C13" s="684">
        <v>383393.74050000001</v>
      </c>
      <c r="D13" s="684">
        <v>47656343.200398006</v>
      </c>
      <c r="E13" s="684">
        <v>467510.77579009923</v>
      </c>
      <c r="F13" s="684">
        <v>0</v>
      </c>
      <c r="G13" s="684"/>
      <c r="H13" s="645">
        <f t="shared" si="0"/>
        <v>47572226.165107906</v>
      </c>
    </row>
    <row r="14" spans="1:8">
      <c r="A14" s="494">
        <v>8</v>
      </c>
      <c r="B14" s="509" t="s">
        <v>524</v>
      </c>
      <c r="C14" s="684">
        <v>17656697.625</v>
      </c>
      <c r="D14" s="684">
        <v>17121111.545815997</v>
      </c>
      <c r="E14" s="684">
        <v>2689969.906199622</v>
      </c>
      <c r="F14" s="684">
        <v>0</v>
      </c>
      <c r="G14" s="684"/>
      <c r="H14" s="645">
        <f t="shared" si="0"/>
        <v>32087839.264616374</v>
      </c>
    </row>
    <row r="15" spans="1:8">
      <c r="A15" s="494">
        <v>9</v>
      </c>
      <c r="B15" s="509" t="s">
        <v>525</v>
      </c>
      <c r="C15" s="684">
        <v>0</v>
      </c>
      <c r="D15" s="684">
        <v>9609.2900000000009</v>
      </c>
      <c r="E15" s="684">
        <v>68.529309569207996</v>
      </c>
      <c r="F15" s="684">
        <v>0</v>
      </c>
      <c r="G15" s="684"/>
      <c r="H15" s="645">
        <f t="shared" si="0"/>
        <v>9540.7606904307922</v>
      </c>
    </row>
    <row r="16" spans="1:8">
      <c r="A16" s="494">
        <v>10</v>
      </c>
      <c r="B16" s="509" t="s">
        <v>526</v>
      </c>
      <c r="C16" s="684">
        <v>0</v>
      </c>
      <c r="D16" s="684">
        <v>0</v>
      </c>
      <c r="E16" s="684">
        <v>0</v>
      </c>
      <c r="F16" s="684">
        <v>0</v>
      </c>
      <c r="G16" s="684"/>
      <c r="H16" s="645">
        <f t="shared" si="0"/>
        <v>0</v>
      </c>
    </row>
    <row r="17" spans="1:9">
      <c r="A17" s="494">
        <v>11</v>
      </c>
      <c r="B17" s="509" t="s">
        <v>527</v>
      </c>
      <c r="C17" s="684">
        <v>841692.98</v>
      </c>
      <c r="D17" s="684">
        <v>5427790.0312999999</v>
      </c>
      <c r="E17" s="684">
        <v>425991.69335595641</v>
      </c>
      <c r="F17" s="684">
        <v>0</v>
      </c>
      <c r="G17" s="684"/>
      <c r="H17" s="645">
        <f t="shared" si="0"/>
        <v>5843491.3179440433</v>
      </c>
    </row>
    <row r="18" spans="1:9">
      <c r="A18" s="494">
        <v>12</v>
      </c>
      <c r="B18" s="509" t="s">
        <v>528</v>
      </c>
      <c r="C18" s="684">
        <v>0</v>
      </c>
      <c r="D18" s="684">
        <v>3926670.4721143837</v>
      </c>
      <c r="E18" s="684">
        <v>10863.428708041778</v>
      </c>
      <c r="F18" s="684">
        <v>0</v>
      </c>
      <c r="G18" s="684"/>
      <c r="H18" s="645">
        <f t="shared" si="0"/>
        <v>3915807.0434063422</v>
      </c>
    </row>
    <row r="19" spans="1:9">
      <c r="A19" s="494">
        <v>13</v>
      </c>
      <c r="B19" s="509" t="s">
        <v>529</v>
      </c>
      <c r="C19" s="684">
        <v>9207528.7899999991</v>
      </c>
      <c r="D19" s="684">
        <v>26711762.094571669</v>
      </c>
      <c r="E19" s="684">
        <v>2475637.7030173987</v>
      </c>
      <c r="F19" s="684">
        <v>0</v>
      </c>
      <c r="G19" s="684"/>
      <c r="H19" s="645">
        <f t="shared" si="0"/>
        <v>33443653.181554273</v>
      </c>
    </row>
    <row r="20" spans="1:9">
      <c r="A20" s="494">
        <v>14</v>
      </c>
      <c r="B20" s="509" t="s">
        <v>530</v>
      </c>
      <c r="C20" s="684">
        <v>0</v>
      </c>
      <c r="D20" s="684">
        <v>0</v>
      </c>
      <c r="E20" s="684">
        <v>0</v>
      </c>
      <c r="F20" s="684">
        <v>0</v>
      </c>
      <c r="G20" s="684"/>
      <c r="H20" s="645">
        <f t="shared" si="0"/>
        <v>0</v>
      </c>
    </row>
    <row r="21" spans="1:9">
      <c r="A21" s="494">
        <v>15</v>
      </c>
      <c r="B21" s="509" t="s">
        <v>531</v>
      </c>
      <c r="C21" s="684">
        <v>0</v>
      </c>
      <c r="D21" s="684">
        <v>0</v>
      </c>
      <c r="E21" s="684">
        <v>0</v>
      </c>
      <c r="F21" s="684">
        <v>0</v>
      </c>
      <c r="G21" s="684"/>
      <c r="H21" s="645">
        <f t="shared" si="0"/>
        <v>0</v>
      </c>
    </row>
    <row r="22" spans="1:9">
      <c r="A22" s="494">
        <v>16</v>
      </c>
      <c r="B22" s="509" t="s">
        <v>532</v>
      </c>
      <c r="C22" s="684">
        <v>3510315.1453999998</v>
      </c>
      <c r="D22" s="684">
        <v>21302361.319600001</v>
      </c>
      <c r="E22" s="684">
        <v>1797085.3383943364</v>
      </c>
      <c r="F22" s="684">
        <v>0</v>
      </c>
      <c r="G22" s="684"/>
      <c r="H22" s="645">
        <f t="shared" si="0"/>
        <v>23015591.126605663</v>
      </c>
    </row>
    <row r="23" spans="1:9">
      <c r="A23" s="494">
        <v>17</v>
      </c>
      <c r="B23" s="509" t="s">
        <v>533</v>
      </c>
      <c r="C23" s="684">
        <v>0</v>
      </c>
      <c r="D23" s="684">
        <v>0</v>
      </c>
      <c r="E23" s="684">
        <v>0</v>
      </c>
      <c r="F23" s="684">
        <v>0</v>
      </c>
      <c r="G23" s="684"/>
      <c r="H23" s="645">
        <f t="shared" si="0"/>
        <v>0</v>
      </c>
    </row>
    <row r="24" spans="1:9">
      <c r="A24" s="494">
        <v>18</v>
      </c>
      <c r="B24" s="509" t="s">
        <v>534</v>
      </c>
      <c r="C24" s="684">
        <v>0</v>
      </c>
      <c r="D24" s="684">
        <v>0</v>
      </c>
      <c r="E24" s="684">
        <v>0</v>
      </c>
      <c r="F24" s="684">
        <v>0</v>
      </c>
      <c r="G24" s="684"/>
      <c r="H24" s="645">
        <f t="shared" si="0"/>
        <v>0</v>
      </c>
    </row>
    <row r="25" spans="1:9">
      <c r="A25" s="494">
        <v>19</v>
      </c>
      <c r="B25" s="509" t="s">
        <v>535</v>
      </c>
      <c r="C25" s="684">
        <v>0</v>
      </c>
      <c r="D25" s="684">
        <v>9965838.4499999993</v>
      </c>
      <c r="E25" s="684">
        <v>9335.8375830424575</v>
      </c>
      <c r="F25" s="684">
        <v>0</v>
      </c>
      <c r="G25" s="684"/>
      <c r="H25" s="645">
        <f t="shared" si="0"/>
        <v>9956502.6124169566</v>
      </c>
    </row>
    <row r="26" spans="1:9">
      <c r="A26" s="494">
        <v>20</v>
      </c>
      <c r="B26" s="509" t="s">
        <v>536</v>
      </c>
      <c r="C26" s="684">
        <v>0</v>
      </c>
      <c r="D26" s="684">
        <v>0</v>
      </c>
      <c r="E26" s="684">
        <v>0</v>
      </c>
      <c r="F26" s="684">
        <v>0</v>
      </c>
      <c r="G26" s="684"/>
      <c r="H26" s="645">
        <f t="shared" si="0"/>
        <v>0</v>
      </c>
      <c r="I26" s="398"/>
    </row>
    <row r="27" spans="1:9">
      <c r="A27" s="494">
        <v>21</v>
      </c>
      <c r="B27" s="509" t="s">
        <v>537</v>
      </c>
      <c r="C27" s="684">
        <v>0</v>
      </c>
      <c r="D27" s="684">
        <v>0</v>
      </c>
      <c r="E27" s="684">
        <v>0</v>
      </c>
      <c r="F27" s="684">
        <v>0</v>
      </c>
      <c r="G27" s="684"/>
      <c r="H27" s="645">
        <f t="shared" si="0"/>
        <v>0</v>
      </c>
      <c r="I27" s="398"/>
    </row>
    <row r="28" spans="1:9">
      <c r="A28" s="494">
        <v>22</v>
      </c>
      <c r="B28" s="509" t="s">
        <v>538</v>
      </c>
      <c r="C28" s="684">
        <v>10540348.2225</v>
      </c>
      <c r="D28" s="684">
        <v>5088367.946304</v>
      </c>
      <c r="E28" s="684">
        <v>4000505.2594326832</v>
      </c>
      <c r="F28" s="684">
        <v>0</v>
      </c>
      <c r="G28" s="684"/>
      <c r="H28" s="645">
        <f t="shared" si="0"/>
        <v>11628210.909371318</v>
      </c>
      <c r="I28" s="398"/>
    </row>
    <row r="29" spans="1:9">
      <c r="A29" s="494">
        <v>23</v>
      </c>
      <c r="B29" s="509" t="s">
        <v>539</v>
      </c>
      <c r="C29" s="684">
        <v>3185482.4699999997</v>
      </c>
      <c r="D29" s="684">
        <v>2763547.7508</v>
      </c>
      <c r="E29" s="684">
        <v>414697.08899839834</v>
      </c>
      <c r="F29" s="684">
        <v>0</v>
      </c>
      <c r="G29" s="684"/>
      <c r="H29" s="645">
        <f t="shared" si="0"/>
        <v>5534333.1318016006</v>
      </c>
      <c r="I29" s="398"/>
    </row>
    <row r="30" spans="1:9">
      <c r="A30" s="494">
        <v>24</v>
      </c>
      <c r="B30" s="509" t="s">
        <v>540</v>
      </c>
      <c r="C30" s="684">
        <v>0</v>
      </c>
      <c r="D30" s="684">
        <v>0</v>
      </c>
      <c r="E30" s="684">
        <v>0</v>
      </c>
      <c r="F30" s="684">
        <v>0</v>
      </c>
      <c r="G30" s="684"/>
      <c r="H30" s="645">
        <f t="shared" si="0"/>
        <v>0</v>
      </c>
      <c r="I30" s="398"/>
    </row>
    <row r="31" spans="1:9">
      <c r="A31" s="494">
        <v>25</v>
      </c>
      <c r="B31" s="509" t="s">
        <v>541</v>
      </c>
      <c r="C31" s="684">
        <v>540940.92791999993</v>
      </c>
      <c r="D31" s="684">
        <v>9119614.8704690002</v>
      </c>
      <c r="E31" s="684">
        <v>415407.7122737185</v>
      </c>
      <c r="F31" s="684">
        <v>0</v>
      </c>
      <c r="G31" s="684"/>
      <c r="H31" s="645">
        <f t="shared" si="0"/>
        <v>9245148.086115282</v>
      </c>
      <c r="I31" s="398"/>
    </row>
    <row r="32" spans="1:9">
      <c r="A32" s="494">
        <v>26</v>
      </c>
      <c r="B32" s="509" t="s">
        <v>542</v>
      </c>
      <c r="C32" s="684">
        <v>0</v>
      </c>
      <c r="D32" s="684">
        <v>0</v>
      </c>
      <c r="E32" s="684">
        <v>0</v>
      </c>
      <c r="F32" s="684">
        <v>0</v>
      </c>
      <c r="G32" s="684"/>
      <c r="H32" s="645">
        <f t="shared" si="0"/>
        <v>0</v>
      </c>
      <c r="I32" s="398"/>
    </row>
    <row r="33" spans="1:9">
      <c r="A33" s="494">
        <v>27</v>
      </c>
      <c r="B33" s="495" t="s">
        <v>99</v>
      </c>
      <c r="C33" s="684">
        <f>'18. Assets by Exposure classes'!C20</f>
        <v>1720585</v>
      </c>
      <c r="D33" s="684">
        <f>'18. Assets by Exposure classes'!D20</f>
        <v>250386502</v>
      </c>
      <c r="E33" s="684">
        <f>'18. Assets by Exposure classes'!E20</f>
        <v>94529.712362706603</v>
      </c>
      <c r="F33" s="684">
        <f>'18. Assets by Exposure classes'!F20</f>
        <v>0</v>
      </c>
      <c r="G33" s="684"/>
      <c r="H33" s="645">
        <f t="shared" si="0"/>
        <v>252012557.28763729</v>
      </c>
      <c r="I33" s="398"/>
    </row>
    <row r="34" spans="1:9">
      <c r="A34" s="494">
        <v>28</v>
      </c>
      <c r="B34" s="508" t="s">
        <v>66</v>
      </c>
      <c r="C34" s="683">
        <f>SUM(C7:C33)</f>
        <v>55503517.813455999</v>
      </c>
      <c r="D34" s="683">
        <f>SUM(D7:D33)</f>
        <v>413712636.8662051</v>
      </c>
      <c r="E34" s="683">
        <f>SUM(E7:E33)</f>
        <v>13979904.301094659</v>
      </c>
      <c r="F34" s="683">
        <f>SUM(F7:F33)</f>
        <v>0</v>
      </c>
      <c r="G34" s="683">
        <f>SUM(G7:G33)</f>
        <v>0</v>
      </c>
      <c r="H34" s="645">
        <f t="shared" si="0"/>
        <v>455236250.37856644</v>
      </c>
      <c r="I34" s="398"/>
    </row>
    <row r="35" spans="1:9" ht="15">
      <c r="A35" s="398"/>
      <c r="B35" s="398"/>
      <c r="C35" s="641">
        <f>C34-'18. Assets by Exposure classes'!C21</f>
        <v>-0.61154399812221527</v>
      </c>
      <c r="D35" s="644"/>
      <c r="E35" s="641">
        <f>SUM(E7:E31)-'18. Assets by Exposure classes'!E22</f>
        <v>-0.33396814949810505</v>
      </c>
      <c r="F35" s="641">
        <f>SUM(F7:F31)-'18. Assets by Exposure classes'!F22</f>
        <v>0</v>
      </c>
      <c r="G35" s="644"/>
      <c r="H35" s="641">
        <f>H34-'18. Assets by Exposure classes'!H21</f>
        <v>-1.4779999852180481</v>
      </c>
      <c r="I35" s="398"/>
    </row>
    <row r="36" spans="1:9" ht="15">
      <c r="A36" s="398"/>
      <c r="B36" s="399"/>
      <c r="C36" s="644"/>
      <c r="D36" s="644"/>
      <c r="E36" s="641">
        <f>E34+'[4]FSF-SOFP'!$U$25+'[4]FSF-SOFP'!$V$25+'[4]FSF-SOFP'!$U$41+'[4]FSF-SOFP'!$V$41</f>
        <v>-1.0179064702242613E-8</v>
      </c>
      <c r="F36" s="644"/>
      <c r="G36" s="644"/>
      <c r="H36" s="644"/>
      <c r="I36" s="398"/>
    </row>
    <row r="37" spans="1:9">
      <c r="C37" s="706"/>
      <c r="D37" s="706"/>
      <c r="E37" s="706"/>
      <c r="F37" s="706"/>
      <c r="G37" s="706"/>
      <c r="H37" s="706"/>
    </row>
    <row r="38" spans="1:9">
      <c r="C38" s="706"/>
      <c r="D38" s="706"/>
      <c r="E38" s="706"/>
      <c r="F38" s="706"/>
      <c r="G38" s="706"/>
      <c r="H38" s="706"/>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7"/>
  <sheetViews>
    <sheetView showGridLines="0" zoomScaleNormal="100" workbookViewId="0">
      <selection activeCell="D6" sqref="D6:D19"/>
    </sheetView>
  </sheetViews>
  <sheetFormatPr defaultColWidth="9.28515625" defaultRowHeight="12.75"/>
  <cols>
    <col min="1" max="1" width="11.7109375" style="391" bestFit="1" customWidth="1"/>
    <col min="2" max="2" width="108" style="391" bestFit="1" customWidth="1"/>
    <col min="3" max="3" width="35.5703125" style="391" customWidth="1"/>
    <col min="4" max="4" width="38.42578125" style="397" customWidth="1"/>
    <col min="5" max="16384" width="9.28515625" style="391"/>
  </cols>
  <sheetData>
    <row r="1" spans="1:4" ht="13.5">
      <c r="A1" s="390" t="s">
        <v>108</v>
      </c>
      <c r="B1" s="316" t="str">
        <f>Info!C2</f>
        <v>JSC "VTB Bank (Georgia)"</v>
      </c>
      <c r="D1" s="391"/>
    </row>
    <row r="2" spans="1:4">
      <c r="A2" s="392" t="s">
        <v>109</v>
      </c>
      <c r="B2" s="394">
        <f>Info!D2</f>
        <v>45291</v>
      </c>
      <c r="D2" s="391"/>
    </row>
    <row r="3" spans="1:4">
      <c r="A3" s="393" t="s">
        <v>543</v>
      </c>
      <c r="D3" s="391"/>
    </row>
    <row r="5" spans="1:4">
      <c r="A5" s="861" t="s">
        <v>880</v>
      </c>
      <c r="B5" s="861"/>
      <c r="C5" s="517" t="s">
        <v>562</v>
      </c>
      <c r="D5" s="517" t="s">
        <v>879</v>
      </c>
    </row>
    <row r="6" spans="1:4">
      <c r="A6" s="516">
        <v>1</v>
      </c>
      <c r="B6" s="510" t="s">
        <v>878</v>
      </c>
      <c r="C6" s="642">
        <v>7558713.0421120469</v>
      </c>
      <c r="D6" s="775">
        <v>0</v>
      </c>
    </row>
    <row r="7" spans="1:4">
      <c r="A7" s="513">
        <v>2</v>
      </c>
      <c r="B7" s="510" t="s">
        <v>877</v>
      </c>
      <c r="C7" s="643">
        <f>SUM(C8:C9)</f>
        <v>5873798.3199999994</v>
      </c>
      <c r="D7" s="776">
        <f>SUM(D8:D9)</f>
        <v>0</v>
      </c>
    </row>
    <row r="8" spans="1:4">
      <c r="A8" s="515">
        <v>2.1</v>
      </c>
      <c r="B8" s="514" t="s">
        <v>876</v>
      </c>
      <c r="C8" s="643"/>
      <c r="D8" s="776"/>
    </row>
    <row r="9" spans="1:4">
      <c r="A9" s="515">
        <v>2.2000000000000002</v>
      </c>
      <c r="B9" s="514" t="s">
        <v>875</v>
      </c>
      <c r="C9" s="643">
        <v>5873798.3199999994</v>
      </c>
      <c r="D9" s="776"/>
    </row>
    <row r="10" spans="1:4">
      <c r="A10" s="516">
        <v>3</v>
      </c>
      <c r="B10" s="510" t="s">
        <v>874</v>
      </c>
      <c r="C10" s="643">
        <f>SUM(C11:C13)</f>
        <v>1350166.1099999999</v>
      </c>
      <c r="D10" s="776">
        <f>SUM(D11:D13)</f>
        <v>0</v>
      </c>
    </row>
    <row r="11" spans="1:4">
      <c r="A11" s="515">
        <v>3.1</v>
      </c>
      <c r="B11" s="514" t="s">
        <v>544</v>
      </c>
      <c r="C11" s="643"/>
      <c r="D11" s="776">
        <v>0</v>
      </c>
    </row>
    <row r="12" spans="1:4">
      <c r="A12" s="515">
        <v>3.2</v>
      </c>
      <c r="B12" s="514" t="s">
        <v>873</v>
      </c>
      <c r="C12" s="643">
        <v>1350166.1099999999</v>
      </c>
      <c r="D12" s="776"/>
    </row>
    <row r="13" spans="1:4">
      <c r="A13" s="515">
        <v>3.3</v>
      </c>
      <c r="B13" s="514" t="s">
        <v>872</v>
      </c>
      <c r="C13" s="643"/>
      <c r="D13" s="776"/>
    </row>
    <row r="14" spans="1:4">
      <c r="A14" s="513">
        <v>4</v>
      </c>
      <c r="B14" s="512" t="s">
        <v>871</v>
      </c>
      <c r="C14" s="643">
        <v>1803029.34</v>
      </c>
      <c r="D14" s="776"/>
    </row>
    <row r="15" spans="1:4">
      <c r="A15" s="511">
        <v>5</v>
      </c>
      <c r="B15" s="510" t="s">
        <v>870</v>
      </c>
      <c r="C15" s="642">
        <f>C6+C7-C10+C14</f>
        <v>13885374.592112046</v>
      </c>
      <c r="D15" s="775">
        <f>D6+D7-D10+D14</f>
        <v>0</v>
      </c>
    </row>
    <row r="16" spans="1:4" ht="15">
      <c r="C16" s="640">
        <f>C15-SUM('19. Assets by Risk Sectors'!E7:E32)-SUM('19. Assets by Risk Sectors'!F7:F32)</f>
        <v>3.3800937235355377E-3</v>
      </c>
    </row>
    <row r="17" spans="3:3">
      <c r="C17" s="649"/>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showGridLines="0" zoomScale="80" zoomScaleNormal="80" workbookViewId="0">
      <selection activeCell="C7" sqref="C7:C18"/>
    </sheetView>
  </sheetViews>
  <sheetFormatPr defaultColWidth="9.28515625" defaultRowHeight="12.75"/>
  <cols>
    <col min="1" max="1" width="11.7109375" style="505" bestFit="1" customWidth="1"/>
    <col min="2" max="2" width="128.85546875" style="505" bestFit="1" customWidth="1"/>
    <col min="3" max="3" width="37" style="505" customWidth="1"/>
    <col min="4" max="4" width="50.5703125" style="505" customWidth="1"/>
    <col min="5" max="16384" width="9.28515625" style="505"/>
  </cols>
  <sheetData>
    <row r="1" spans="1:5" ht="13.5">
      <c r="A1" s="390" t="s">
        <v>108</v>
      </c>
      <c r="B1" s="316" t="str">
        <f>Info!C2</f>
        <v>JSC "VTB Bank (Georgia)"</v>
      </c>
    </row>
    <row r="2" spans="1:5">
      <c r="A2" s="392" t="s">
        <v>109</v>
      </c>
      <c r="B2" s="394">
        <f>Info!D2</f>
        <v>45291</v>
      </c>
    </row>
    <row r="3" spans="1:5">
      <c r="A3" s="393" t="s">
        <v>545</v>
      </c>
    </row>
    <row r="4" spans="1:5">
      <c r="A4" s="393"/>
    </row>
    <row r="5" spans="1:5" ht="15" customHeight="1">
      <c r="A5" s="862" t="s">
        <v>546</v>
      </c>
      <c r="B5" s="863"/>
      <c r="C5" s="866" t="s">
        <v>547</v>
      </c>
      <c r="D5" s="866" t="s">
        <v>548</v>
      </c>
    </row>
    <row r="6" spans="1:5">
      <c r="A6" s="864"/>
      <c r="B6" s="865"/>
      <c r="C6" s="866"/>
      <c r="D6" s="866"/>
    </row>
    <row r="7" spans="1:5">
      <c r="A7" s="508">
        <v>1</v>
      </c>
      <c r="B7" s="498" t="s">
        <v>549</v>
      </c>
      <c r="C7" s="683">
        <v>46264950.109994009</v>
      </c>
      <c r="D7" s="518"/>
    </row>
    <row r="8" spans="1:5">
      <c r="A8" s="495">
        <v>2</v>
      </c>
      <c r="B8" s="495" t="s">
        <v>550</v>
      </c>
      <c r="C8" s="684">
        <v>9217403.4800000004</v>
      </c>
      <c r="D8" s="518"/>
    </row>
    <row r="9" spans="1:5">
      <c r="A9" s="495">
        <v>3</v>
      </c>
      <c r="B9" s="521" t="s">
        <v>551</v>
      </c>
      <c r="C9" s="684">
        <v>132409.1230000034</v>
      </c>
      <c r="D9" s="518"/>
    </row>
    <row r="10" spans="1:5">
      <c r="A10" s="495">
        <v>4</v>
      </c>
      <c r="B10" s="495" t="s">
        <v>552</v>
      </c>
      <c r="C10" s="684">
        <f>SUM(C11:C17)</f>
        <v>1831829.6745039378</v>
      </c>
      <c r="D10" s="518"/>
    </row>
    <row r="11" spans="1:5">
      <c r="A11" s="495">
        <v>5</v>
      </c>
      <c r="B11" s="520" t="s">
        <v>881</v>
      </c>
      <c r="C11" s="684">
        <v>1831829.6745039378</v>
      </c>
      <c r="D11" s="518"/>
    </row>
    <row r="12" spans="1:5">
      <c r="A12" s="495">
        <v>6</v>
      </c>
      <c r="B12" s="520" t="s">
        <v>553</v>
      </c>
      <c r="C12" s="684">
        <v>0</v>
      </c>
      <c r="D12" s="518"/>
    </row>
    <row r="13" spans="1:5">
      <c r="A13" s="495">
        <v>7</v>
      </c>
      <c r="B13" s="520" t="s">
        <v>556</v>
      </c>
      <c r="C13" s="684">
        <v>0</v>
      </c>
      <c r="D13" s="518"/>
      <c r="E13" s="681">
        <f>C13-'18. Assets by Exposure classes'!H11</f>
        <v>0</v>
      </c>
    </row>
    <row r="14" spans="1:5">
      <c r="A14" s="495">
        <v>8</v>
      </c>
      <c r="B14" s="520" t="s">
        <v>554</v>
      </c>
      <c r="C14" s="684">
        <v>0</v>
      </c>
      <c r="D14" s="495"/>
    </row>
    <row r="15" spans="1:5">
      <c r="A15" s="495">
        <v>9</v>
      </c>
      <c r="B15" s="520" t="s">
        <v>555</v>
      </c>
      <c r="C15" s="684"/>
      <c r="D15" s="495"/>
    </row>
    <row r="16" spans="1:5">
      <c r="A16" s="495">
        <v>10</v>
      </c>
      <c r="B16" s="520" t="s">
        <v>557</v>
      </c>
      <c r="C16" s="684"/>
      <c r="D16" s="495"/>
    </row>
    <row r="17" spans="1:4" ht="25.5">
      <c r="A17" s="495">
        <v>11</v>
      </c>
      <c r="B17" s="520" t="s">
        <v>558</v>
      </c>
      <c r="C17" s="684"/>
      <c r="D17" s="518"/>
    </row>
    <row r="18" spans="1:4">
      <c r="A18" s="508">
        <v>12</v>
      </c>
      <c r="B18" s="519" t="s">
        <v>559</v>
      </c>
      <c r="C18" s="683">
        <f>C7+C8+C9-C10</f>
        <v>53782933.038490079</v>
      </c>
      <c r="D18" s="518"/>
    </row>
    <row r="19" spans="1:4">
      <c r="C19" s="682">
        <f>C18-'18. Assets by Exposure classes'!C22</f>
        <v>-9.6509918570518494E-2</v>
      </c>
    </row>
    <row r="20" spans="1:4">
      <c r="C20" s="682"/>
    </row>
    <row r="21" spans="1:4">
      <c r="B21" s="390"/>
      <c r="C21" s="682"/>
    </row>
    <row r="22" spans="1:4">
      <c r="B22" s="392"/>
    </row>
    <row r="23" spans="1:4">
      <c r="B23" s="39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60" zoomScaleNormal="60" workbookViewId="0">
      <selection activeCell="AA8" sqref="C8:AA28"/>
    </sheetView>
  </sheetViews>
  <sheetFormatPr defaultColWidth="9.28515625" defaultRowHeight="12.75"/>
  <cols>
    <col min="1" max="1" width="11.7109375" style="505" bestFit="1" customWidth="1"/>
    <col min="2" max="2" width="63.85546875" style="505" customWidth="1"/>
    <col min="3" max="3" width="15.5703125" style="505" customWidth="1"/>
    <col min="4" max="18" width="22.28515625" style="505" customWidth="1"/>
    <col min="19" max="19" width="23.28515625" style="505" bestFit="1" customWidth="1"/>
    <col min="20" max="26" width="22.28515625" style="505" customWidth="1"/>
    <col min="27" max="27" width="23.28515625" style="505" bestFit="1" customWidth="1"/>
    <col min="28" max="28" width="20" style="505" customWidth="1"/>
    <col min="29" max="16384" width="9.28515625" style="505"/>
  </cols>
  <sheetData>
    <row r="1" spans="1:28" ht="13.5">
      <c r="A1" s="390" t="s">
        <v>108</v>
      </c>
      <c r="B1" s="316" t="str">
        <f>Info!C2</f>
        <v>JSC "VTB Bank (Georgia)"</v>
      </c>
    </row>
    <row r="2" spans="1:28">
      <c r="A2" s="392" t="s">
        <v>109</v>
      </c>
      <c r="B2" s="394">
        <f>Info!D2</f>
        <v>45291</v>
      </c>
      <c r="C2" s="506"/>
    </row>
    <row r="3" spans="1:28">
      <c r="A3" s="393" t="s">
        <v>560</v>
      </c>
    </row>
    <row r="5" spans="1:28" ht="15" customHeight="1">
      <c r="A5" s="867" t="s">
        <v>894</v>
      </c>
      <c r="B5" s="868"/>
      <c r="C5" s="873" t="s">
        <v>893</v>
      </c>
      <c r="D5" s="874"/>
      <c r="E5" s="874"/>
      <c r="F5" s="874"/>
      <c r="G5" s="874"/>
      <c r="H5" s="874"/>
      <c r="I5" s="874"/>
      <c r="J5" s="874"/>
      <c r="K5" s="874"/>
      <c r="L5" s="874"/>
      <c r="M5" s="874"/>
      <c r="N5" s="874"/>
      <c r="O5" s="874"/>
      <c r="P5" s="874"/>
      <c r="Q5" s="874"/>
      <c r="R5" s="874"/>
      <c r="S5" s="874"/>
      <c r="T5" s="536"/>
      <c r="U5" s="536"/>
      <c r="V5" s="536"/>
      <c r="W5" s="536"/>
      <c r="X5" s="536"/>
      <c r="Y5" s="536"/>
      <c r="Z5" s="536"/>
      <c r="AA5" s="535"/>
      <c r="AB5" s="526"/>
    </row>
    <row r="6" spans="1:28">
      <c r="A6" s="869"/>
      <c r="B6" s="870"/>
      <c r="C6" s="875" t="s">
        <v>66</v>
      </c>
      <c r="D6" s="877" t="s">
        <v>892</v>
      </c>
      <c r="E6" s="877"/>
      <c r="F6" s="877"/>
      <c r="G6" s="877"/>
      <c r="H6" s="878" t="s">
        <v>891</v>
      </c>
      <c r="I6" s="879"/>
      <c r="J6" s="879"/>
      <c r="K6" s="880"/>
      <c r="L6" s="534"/>
      <c r="M6" s="881" t="s">
        <v>890</v>
      </c>
      <c r="N6" s="881"/>
      <c r="O6" s="881"/>
      <c r="P6" s="881"/>
      <c r="Q6" s="881"/>
      <c r="R6" s="881"/>
      <c r="S6" s="857"/>
      <c r="T6" s="533"/>
      <c r="U6" s="860" t="s">
        <v>889</v>
      </c>
      <c r="V6" s="860"/>
      <c r="W6" s="860"/>
      <c r="X6" s="860"/>
      <c r="Y6" s="860"/>
      <c r="Z6" s="860"/>
      <c r="AA6" s="858"/>
      <c r="AB6" s="532"/>
    </row>
    <row r="7" spans="1:28" ht="25.5">
      <c r="A7" s="871"/>
      <c r="B7" s="872"/>
      <c r="C7" s="876"/>
      <c r="D7" s="531"/>
      <c r="E7" s="527" t="s">
        <v>561</v>
      </c>
      <c r="F7" s="502" t="s">
        <v>887</v>
      </c>
      <c r="G7" s="502" t="s">
        <v>888</v>
      </c>
      <c r="H7" s="530"/>
      <c r="I7" s="527" t="s">
        <v>561</v>
      </c>
      <c r="J7" s="502" t="s">
        <v>887</v>
      </c>
      <c r="K7" s="502" t="s">
        <v>888</v>
      </c>
      <c r="L7" s="529"/>
      <c r="M7" s="527" t="s">
        <v>561</v>
      </c>
      <c r="N7" s="502" t="s">
        <v>887</v>
      </c>
      <c r="O7" s="502" t="s">
        <v>886</v>
      </c>
      <c r="P7" s="502" t="s">
        <v>885</v>
      </c>
      <c r="Q7" s="502" t="s">
        <v>884</v>
      </c>
      <c r="R7" s="502" t="s">
        <v>883</v>
      </c>
      <c r="S7" s="502" t="s">
        <v>882</v>
      </c>
      <c r="T7" s="528"/>
      <c r="U7" s="527" t="s">
        <v>561</v>
      </c>
      <c r="V7" s="502" t="s">
        <v>887</v>
      </c>
      <c r="W7" s="502" t="s">
        <v>886</v>
      </c>
      <c r="X7" s="502" t="s">
        <v>885</v>
      </c>
      <c r="Y7" s="502" t="s">
        <v>884</v>
      </c>
      <c r="Z7" s="502" t="s">
        <v>883</v>
      </c>
      <c r="AA7" s="502" t="s">
        <v>882</v>
      </c>
      <c r="AB7" s="526"/>
    </row>
    <row r="8" spans="1:28">
      <c r="A8" s="525">
        <v>1</v>
      </c>
      <c r="B8" s="498" t="s">
        <v>562</v>
      </c>
      <c r="C8" s="714">
        <f>SUM(C9:C14)</f>
        <v>210411632.20992908</v>
      </c>
      <c r="D8" s="714">
        <f t="shared" ref="D8:U8" si="0">SUM(D9:D14)</f>
        <v>87134972.530393377</v>
      </c>
      <c r="E8" s="714">
        <f t="shared" si="0"/>
        <v>87134972.530393377</v>
      </c>
      <c r="F8" s="714">
        <f t="shared" si="0"/>
        <v>0</v>
      </c>
      <c r="G8" s="714">
        <f t="shared" si="0"/>
        <v>0</v>
      </c>
      <c r="H8" s="714">
        <f t="shared" si="0"/>
        <v>69493726.866079658</v>
      </c>
      <c r="I8" s="714">
        <f t="shared" si="0"/>
        <v>40736274.809767678</v>
      </c>
      <c r="J8" s="714">
        <f t="shared" si="0"/>
        <v>1185164.3265</v>
      </c>
      <c r="K8" s="714">
        <f t="shared" si="0"/>
        <v>27572287.729811996</v>
      </c>
      <c r="L8" s="714">
        <f t="shared" si="0"/>
        <v>53782932.813455984</v>
      </c>
      <c r="M8" s="714">
        <f t="shared" si="0"/>
        <v>5555943.3438999997</v>
      </c>
      <c r="N8" s="714">
        <f t="shared" si="0"/>
        <v>116297.84402</v>
      </c>
      <c r="O8" s="714">
        <f t="shared" si="0"/>
        <v>1803304.16</v>
      </c>
      <c r="P8" s="714">
        <f t="shared" si="0"/>
        <v>5234121.79</v>
      </c>
      <c r="Q8" s="714">
        <f t="shared" si="0"/>
        <v>37202775.324535996</v>
      </c>
      <c r="R8" s="714">
        <f t="shared" si="0"/>
        <v>3870490.3509999998</v>
      </c>
      <c r="S8" s="714">
        <f t="shared" si="0"/>
        <v>0</v>
      </c>
      <c r="T8" s="714">
        <f t="shared" si="0"/>
        <v>0</v>
      </c>
      <c r="U8" s="714">
        <f t="shared" si="0"/>
        <v>0</v>
      </c>
      <c r="V8" s="494"/>
      <c r="W8" s="494"/>
      <c r="X8" s="494"/>
      <c r="Y8" s="494"/>
      <c r="Z8" s="494"/>
      <c r="AA8" s="494"/>
      <c r="AB8" s="522"/>
    </row>
    <row r="9" spans="1:28">
      <c r="A9" s="494">
        <v>1.1000000000000001</v>
      </c>
      <c r="B9" s="524" t="s">
        <v>563</v>
      </c>
      <c r="C9" s="721"/>
      <c r="D9" s="684"/>
      <c r="E9" s="684"/>
      <c r="F9" s="684"/>
      <c r="G9" s="684"/>
      <c r="H9" s="684"/>
      <c r="I9" s="684"/>
      <c r="J9" s="684"/>
      <c r="K9" s="684"/>
      <c r="L9" s="684"/>
      <c r="M9" s="684"/>
      <c r="N9" s="684"/>
      <c r="O9" s="684"/>
      <c r="P9" s="684"/>
      <c r="Q9" s="684"/>
      <c r="R9" s="684"/>
      <c r="S9" s="494"/>
      <c r="T9" s="494"/>
      <c r="U9" s="494"/>
      <c r="V9" s="494"/>
      <c r="W9" s="494"/>
      <c r="X9" s="494"/>
      <c r="Y9" s="494"/>
      <c r="Z9" s="494"/>
      <c r="AA9" s="494"/>
      <c r="AB9" s="522"/>
    </row>
    <row r="10" spans="1:28">
      <c r="A10" s="494">
        <v>1.2</v>
      </c>
      <c r="B10" s="524" t="s">
        <v>564</v>
      </c>
      <c r="C10" s="721"/>
      <c r="D10" s="684"/>
      <c r="E10" s="684"/>
      <c r="F10" s="684"/>
      <c r="G10" s="684"/>
      <c r="H10" s="684"/>
      <c r="I10" s="684"/>
      <c r="J10" s="684"/>
      <c r="K10" s="684"/>
      <c r="L10" s="684"/>
      <c r="M10" s="684"/>
      <c r="N10" s="684"/>
      <c r="O10" s="684"/>
      <c r="P10" s="684"/>
      <c r="Q10" s="684"/>
      <c r="R10" s="684"/>
      <c r="S10" s="494"/>
      <c r="T10" s="494"/>
      <c r="U10" s="494"/>
      <c r="V10" s="494"/>
      <c r="W10" s="494"/>
      <c r="X10" s="494"/>
      <c r="Y10" s="494"/>
      <c r="Z10" s="494"/>
      <c r="AA10" s="494"/>
      <c r="AB10" s="522"/>
    </row>
    <row r="11" spans="1:28">
      <c r="A11" s="494">
        <v>1.3</v>
      </c>
      <c r="B11" s="524" t="s">
        <v>565</v>
      </c>
      <c r="C11" s="721"/>
      <c r="D11" s="684"/>
      <c r="E11" s="684"/>
      <c r="F11" s="684"/>
      <c r="G11" s="684"/>
      <c r="H11" s="684"/>
      <c r="I11" s="684"/>
      <c r="J11" s="684"/>
      <c r="K11" s="684"/>
      <c r="L11" s="684"/>
      <c r="M11" s="684"/>
      <c r="N11" s="684"/>
      <c r="O11" s="684"/>
      <c r="P11" s="684"/>
      <c r="Q11" s="684"/>
      <c r="R11" s="684"/>
      <c r="S11" s="494"/>
      <c r="T11" s="494"/>
      <c r="U11" s="494"/>
      <c r="V11" s="494"/>
      <c r="W11" s="494"/>
      <c r="X11" s="494"/>
      <c r="Y11" s="494"/>
      <c r="Z11" s="494"/>
      <c r="AA11" s="494"/>
      <c r="AB11" s="522"/>
    </row>
    <row r="12" spans="1:28">
      <c r="A12" s="494">
        <v>1.4</v>
      </c>
      <c r="B12" s="524" t="s">
        <v>566</v>
      </c>
      <c r="C12" s="721">
        <v>320782.15000000002</v>
      </c>
      <c r="D12" s="684">
        <v>0</v>
      </c>
      <c r="E12" s="684">
        <v>0</v>
      </c>
      <c r="F12" s="684">
        <v>0</v>
      </c>
      <c r="G12" s="684">
        <v>0</v>
      </c>
      <c r="H12" s="684">
        <v>0</v>
      </c>
      <c r="I12" s="684">
        <v>0</v>
      </c>
      <c r="J12" s="684">
        <v>0</v>
      </c>
      <c r="K12" s="684">
        <v>0</v>
      </c>
      <c r="L12" s="684">
        <v>320782.15000000002</v>
      </c>
      <c r="M12" s="684">
        <v>0</v>
      </c>
      <c r="N12" s="684">
        <v>0</v>
      </c>
      <c r="O12" s="684">
        <v>0</v>
      </c>
      <c r="P12" s="684">
        <v>0</v>
      </c>
      <c r="Q12" s="684">
        <v>320782.15000000002</v>
      </c>
      <c r="R12" s="684">
        <v>0</v>
      </c>
      <c r="S12" s="494"/>
      <c r="T12" s="494"/>
      <c r="U12" s="494"/>
      <c r="V12" s="494"/>
      <c r="W12" s="494"/>
      <c r="X12" s="494"/>
      <c r="Y12" s="494"/>
      <c r="Z12" s="494"/>
      <c r="AA12" s="494"/>
      <c r="AB12" s="522"/>
    </row>
    <row r="13" spans="1:28">
      <c r="A13" s="494">
        <v>1.5</v>
      </c>
      <c r="B13" s="524" t="s">
        <v>567</v>
      </c>
      <c r="C13" s="721">
        <v>199023604.21154007</v>
      </c>
      <c r="D13" s="684">
        <v>78356299.141924381</v>
      </c>
      <c r="E13" s="684">
        <v>78356299.141924381</v>
      </c>
      <c r="F13" s="684">
        <v>0</v>
      </c>
      <c r="G13" s="684">
        <v>0</v>
      </c>
      <c r="H13" s="684">
        <v>69148731.834079653</v>
      </c>
      <c r="I13" s="684">
        <v>40393499.697767675</v>
      </c>
      <c r="J13" s="684">
        <v>1182944.4065</v>
      </c>
      <c r="K13" s="684">
        <v>27572287.729811996</v>
      </c>
      <c r="L13" s="684">
        <v>51518573.235535987</v>
      </c>
      <c r="M13" s="684">
        <v>5473085</v>
      </c>
      <c r="N13" s="684">
        <v>83368.33</v>
      </c>
      <c r="O13" s="684">
        <v>1782845.97</v>
      </c>
      <c r="P13" s="684">
        <v>5233821.79</v>
      </c>
      <c r="Q13" s="684">
        <v>35074961.794535995</v>
      </c>
      <c r="R13" s="684">
        <v>3870490.3509999998</v>
      </c>
      <c r="S13" s="494"/>
      <c r="T13" s="494"/>
      <c r="U13" s="494"/>
      <c r="V13" s="494"/>
      <c r="W13" s="494"/>
      <c r="X13" s="494"/>
      <c r="Y13" s="494"/>
      <c r="Z13" s="494"/>
      <c r="AA13" s="494"/>
      <c r="AB13" s="522"/>
    </row>
    <row r="14" spans="1:28">
      <c r="A14" s="494">
        <v>1.6</v>
      </c>
      <c r="B14" s="524" t="s">
        <v>568</v>
      </c>
      <c r="C14" s="721">
        <v>11067245.848389005</v>
      </c>
      <c r="D14" s="684">
        <v>8778673.3884690013</v>
      </c>
      <c r="E14" s="684">
        <v>8778673.3884689994</v>
      </c>
      <c r="F14" s="684">
        <v>0</v>
      </c>
      <c r="G14" s="684">
        <v>0</v>
      </c>
      <c r="H14" s="684">
        <v>344995.03199999995</v>
      </c>
      <c r="I14" s="684">
        <v>342775.11199999996</v>
      </c>
      <c r="J14" s="684">
        <v>2219.9199999999996</v>
      </c>
      <c r="K14" s="684">
        <v>0</v>
      </c>
      <c r="L14" s="684">
        <v>1943577.4279199999</v>
      </c>
      <c r="M14" s="684">
        <v>82858.343899999993</v>
      </c>
      <c r="N14" s="684">
        <v>32929.514020000002</v>
      </c>
      <c r="O14" s="684">
        <v>20458.189999999999</v>
      </c>
      <c r="P14" s="684">
        <v>300</v>
      </c>
      <c r="Q14" s="684">
        <v>1807031.38</v>
      </c>
      <c r="R14" s="684">
        <v>0</v>
      </c>
      <c r="S14" s="494"/>
      <c r="T14" s="494"/>
      <c r="U14" s="494"/>
      <c r="V14" s="494"/>
      <c r="W14" s="494"/>
      <c r="X14" s="494"/>
      <c r="Y14" s="494"/>
      <c r="Z14" s="494"/>
      <c r="AA14" s="494"/>
      <c r="AB14" s="522"/>
    </row>
    <row r="15" spans="1:28">
      <c r="A15" s="525">
        <v>2</v>
      </c>
      <c r="B15" s="508" t="s">
        <v>569</v>
      </c>
      <c r="C15" s="714">
        <f>SUM(C16:C21)</f>
        <v>0</v>
      </c>
      <c r="D15" s="714">
        <f>SUM(D16:D21)</f>
        <v>0</v>
      </c>
      <c r="E15" s="714">
        <f t="shared" ref="E15:U15" si="1">SUM(E16:E21)</f>
        <v>0</v>
      </c>
      <c r="F15" s="714">
        <f t="shared" si="1"/>
        <v>0</v>
      </c>
      <c r="G15" s="714">
        <f t="shared" si="1"/>
        <v>0</v>
      </c>
      <c r="H15" s="714">
        <f t="shared" si="1"/>
        <v>0</v>
      </c>
      <c r="I15" s="714">
        <f t="shared" si="1"/>
        <v>0</v>
      </c>
      <c r="J15" s="714">
        <f t="shared" si="1"/>
        <v>0</v>
      </c>
      <c r="K15" s="714">
        <f t="shared" si="1"/>
        <v>0</v>
      </c>
      <c r="L15" s="714">
        <f t="shared" si="1"/>
        <v>0</v>
      </c>
      <c r="M15" s="714">
        <f t="shared" si="1"/>
        <v>0</v>
      </c>
      <c r="N15" s="714">
        <f t="shared" si="1"/>
        <v>0</v>
      </c>
      <c r="O15" s="714">
        <f t="shared" si="1"/>
        <v>0</v>
      </c>
      <c r="P15" s="714">
        <f t="shared" si="1"/>
        <v>0</v>
      </c>
      <c r="Q15" s="714">
        <f t="shared" si="1"/>
        <v>0</v>
      </c>
      <c r="R15" s="714">
        <f t="shared" si="1"/>
        <v>0</v>
      </c>
      <c r="S15" s="714">
        <f t="shared" si="1"/>
        <v>0</v>
      </c>
      <c r="T15" s="714">
        <f t="shared" si="1"/>
        <v>0</v>
      </c>
      <c r="U15" s="714">
        <f t="shared" si="1"/>
        <v>0</v>
      </c>
      <c r="V15" s="494"/>
      <c r="W15" s="494"/>
      <c r="X15" s="494"/>
      <c r="Y15" s="494"/>
      <c r="Z15" s="494"/>
      <c r="AA15" s="494"/>
      <c r="AB15" s="522"/>
    </row>
    <row r="16" spans="1:28">
      <c r="A16" s="494">
        <v>2.1</v>
      </c>
      <c r="B16" s="524" t="s">
        <v>563</v>
      </c>
      <c r="C16" s="52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522"/>
    </row>
    <row r="17" spans="1:28">
      <c r="A17" s="494">
        <v>2.2000000000000002</v>
      </c>
      <c r="B17" s="524" t="s">
        <v>564</v>
      </c>
      <c r="C17" s="52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522"/>
    </row>
    <row r="18" spans="1:28">
      <c r="A18" s="494">
        <v>2.2999999999999998</v>
      </c>
      <c r="B18" s="524" t="s">
        <v>565</v>
      </c>
      <c r="C18" s="52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522"/>
    </row>
    <row r="19" spans="1:28">
      <c r="A19" s="494">
        <v>2.4</v>
      </c>
      <c r="B19" s="524" t="s">
        <v>566</v>
      </c>
      <c r="C19" s="524"/>
      <c r="D19" s="494"/>
      <c r="E19" s="494"/>
      <c r="F19" s="494"/>
      <c r="G19" s="494"/>
      <c r="H19" s="494"/>
      <c r="I19" s="494"/>
      <c r="J19" s="494"/>
      <c r="K19" s="494"/>
      <c r="L19" s="494"/>
      <c r="M19" s="494"/>
      <c r="N19" s="494"/>
      <c r="O19" s="494"/>
      <c r="P19" s="494"/>
      <c r="Q19" s="494"/>
      <c r="R19" s="494"/>
      <c r="S19" s="494"/>
      <c r="T19" s="494"/>
      <c r="U19" s="494"/>
      <c r="V19" s="494"/>
      <c r="W19" s="494"/>
      <c r="X19" s="494"/>
      <c r="Y19" s="494"/>
      <c r="Z19" s="494"/>
      <c r="AA19" s="494"/>
      <c r="AB19" s="522"/>
    </row>
    <row r="20" spans="1:28">
      <c r="A20" s="494">
        <v>2.5</v>
      </c>
      <c r="B20" s="524" t="s">
        <v>567</v>
      </c>
      <c r="C20" s="52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522"/>
    </row>
    <row r="21" spans="1:28">
      <c r="A21" s="494">
        <v>2.6</v>
      </c>
      <c r="B21" s="524" t="s">
        <v>568</v>
      </c>
      <c r="C21" s="524"/>
      <c r="D21" s="494"/>
      <c r="E21" s="494"/>
      <c r="F21" s="494"/>
      <c r="G21" s="494"/>
      <c r="H21" s="494"/>
      <c r="I21" s="494"/>
      <c r="J21" s="494"/>
      <c r="K21" s="494"/>
      <c r="L21" s="494"/>
      <c r="M21" s="494"/>
      <c r="N21" s="494"/>
      <c r="O21" s="494"/>
      <c r="P21" s="494"/>
      <c r="Q21" s="494"/>
      <c r="R21" s="494"/>
      <c r="S21" s="494"/>
      <c r="T21" s="494"/>
      <c r="U21" s="494"/>
      <c r="V21" s="494"/>
      <c r="W21" s="494"/>
      <c r="X21" s="494"/>
      <c r="Y21" s="494"/>
      <c r="Z21" s="494"/>
      <c r="AA21" s="494"/>
      <c r="AB21" s="522"/>
    </row>
    <row r="22" spans="1:28">
      <c r="A22" s="525">
        <v>3</v>
      </c>
      <c r="B22" s="498" t="s">
        <v>570</v>
      </c>
      <c r="C22" s="714">
        <f>SUM(C23:C28)</f>
        <v>2874012.9414999997</v>
      </c>
      <c r="D22" s="714">
        <f>SUM(D23:D28)</f>
        <v>2754012.9414999997</v>
      </c>
      <c r="E22" s="714">
        <f t="shared" ref="E22:U22" si="2">SUM(E23:E28)</f>
        <v>0</v>
      </c>
      <c r="F22" s="715">
        <f t="shared" si="2"/>
        <v>0</v>
      </c>
      <c r="G22" s="714">
        <f t="shared" si="2"/>
        <v>0</v>
      </c>
      <c r="H22" s="715">
        <f t="shared" si="2"/>
        <v>120000</v>
      </c>
      <c r="I22" s="715">
        <f t="shared" si="2"/>
        <v>0</v>
      </c>
      <c r="J22" s="715">
        <f t="shared" si="2"/>
        <v>0</v>
      </c>
      <c r="K22" s="715">
        <f t="shared" si="2"/>
        <v>0</v>
      </c>
      <c r="L22" s="714">
        <f t="shared" si="2"/>
        <v>0</v>
      </c>
      <c r="M22" s="715">
        <f t="shared" si="2"/>
        <v>0</v>
      </c>
      <c r="N22" s="715">
        <f t="shared" si="2"/>
        <v>0</v>
      </c>
      <c r="O22" s="715">
        <f t="shared" si="2"/>
        <v>0</v>
      </c>
      <c r="P22" s="715">
        <f t="shared" si="2"/>
        <v>0</v>
      </c>
      <c r="Q22" s="715">
        <f t="shared" si="2"/>
        <v>0</v>
      </c>
      <c r="R22" s="715">
        <f t="shared" si="2"/>
        <v>0</v>
      </c>
      <c r="S22" s="715">
        <f t="shared" si="2"/>
        <v>0</v>
      </c>
      <c r="T22" s="715">
        <f t="shared" si="2"/>
        <v>0</v>
      </c>
      <c r="U22" s="714">
        <f t="shared" si="2"/>
        <v>0</v>
      </c>
      <c r="V22" s="523"/>
      <c r="W22" s="523"/>
      <c r="X22" s="523"/>
      <c r="Y22" s="523"/>
      <c r="Z22" s="523"/>
      <c r="AA22" s="523"/>
      <c r="AB22" s="522"/>
    </row>
    <row r="23" spans="1:28">
      <c r="A23" s="494">
        <v>3.1</v>
      </c>
      <c r="B23" s="524" t="s">
        <v>563</v>
      </c>
      <c r="C23" s="719"/>
      <c r="D23" s="722"/>
      <c r="E23" s="723"/>
      <c r="F23" s="723"/>
      <c r="G23" s="723"/>
      <c r="H23" s="722"/>
      <c r="I23" s="723"/>
      <c r="J23" s="723"/>
      <c r="K23" s="723"/>
      <c r="L23" s="722"/>
      <c r="M23" s="723"/>
      <c r="N23" s="723"/>
      <c r="O23" s="723"/>
      <c r="P23" s="723"/>
      <c r="Q23" s="723"/>
      <c r="R23" s="723"/>
      <c r="S23" s="523"/>
      <c r="T23" s="498"/>
      <c r="U23" s="523"/>
      <c r="V23" s="523"/>
      <c r="W23" s="523"/>
      <c r="X23" s="523"/>
      <c r="Y23" s="523"/>
      <c r="Z23" s="523"/>
      <c r="AA23" s="523"/>
      <c r="AB23" s="522"/>
    </row>
    <row r="24" spans="1:28">
      <c r="A24" s="494">
        <v>3.2</v>
      </c>
      <c r="B24" s="524" t="s">
        <v>564</v>
      </c>
      <c r="C24" s="719"/>
      <c r="D24" s="722"/>
      <c r="E24" s="723"/>
      <c r="F24" s="723"/>
      <c r="G24" s="723"/>
      <c r="H24" s="722"/>
      <c r="I24" s="723"/>
      <c r="J24" s="723"/>
      <c r="K24" s="723"/>
      <c r="L24" s="722"/>
      <c r="M24" s="723"/>
      <c r="N24" s="723"/>
      <c r="O24" s="723"/>
      <c r="P24" s="723"/>
      <c r="Q24" s="723"/>
      <c r="R24" s="723"/>
      <c r="S24" s="523"/>
      <c r="T24" s="498"/>
      <c r="U24" s="523"/>
      <c r="V24" s="523"/>
      <c r="W24" s="523"/>
      <c r="X24" s="523"/>
      <c r="Y24" s="523"/>
      <c r="Z24" s="523"/>
      <c r="AA24" s="523"/>
      <c r="AB24" s="522"/>
    </row>
    <row r="25" spans="1:28">
      <c r="A25" s="494">
        <v>3.3</v>
      </c>
      <c r="B25" s="524" t="s">
        <v>565</v>
      </c>
      <c r="C25" s="719"/>
      <c r="D25" s="722"/>
      <c r="E25" s="723"/>
      <c r="F25" s="723"/>
      <c r="G25" s="723"/>
      <c r="H25" s="722"/>
      <c r="I25" s="723"/>
      <c r="J25" s="723"/>
      <c r="K25" s="723"/>
      <c r="L25" s="722"/>
      <c r="M25" s="723"/>
      <c r="N25" s="723"/>
      <c r="O25" s="723"/>
      <c r="P25" s="723"/>
      <c r="Q25" s="723"/>
      <c r="R25" s="723"/>
      <c r="S25" s="523"/>
      <c r="T25" s="498"/>
      <c r="U25" s="523"/>
      <c r="V25" s="523"/>
      <c r="W25" s="523"/>
      <c r="X25" s="523"/>
      <c r="Y25" s="523"/>
      <c r="Z25" s="523"/>
      <c r="AA25" s="523"/>
      <c r="AB25" s="522"/>
    </row>
    <row r="26" spans="1:28">
      <c r="A26" s="494">
        <v>3.4</v>
      </c>
      <c r="B26" s="524" t="s">
        <v>566</v>
      </c>
      <c r="C26" s="719">
        <v>0</v>
      </c>
      <c r="D26" s="722">
        <v>0</v>
      </c>
      <c r="E26" s="723"/>
      <c r="F26" s="723"/>
      <c r="G26" s="723"/>
      <c r="H26" s="722">
        <v>0</v>
      </c>
      <c r="I26" s="723"/>
      <c r="J26" s="723"/>
      <c r="K26" s="723"/>
      <c r="L26" s="722">
        <v>0</v>
      </c>
      <c r="M26" s="723"/>
      <c r="N26" s="723"/>
      <c r="O26" s="723"/>
      <c r="P26" s="723"/>
      <c r="Q26" s="723"/>
      <c r="R26" s="723"/>
      <c r="S26" s="523"/>
      <c r="T26" s="498"/>
      <c r="U26" s="523"/>
      <c r="V26" s="523"/>
      <c r="W26" s="523"/>
      <c r="X26" s="523"/>
      <c r="Y26" s="523"/>
      <c r="Z26" s="523"/>
      <c r="AA26" s="523"/>
      <c r="AB26" s="522"/>
    </row>
    <row r="27" spans="1:28">
      <c r="A27" s="494">
        <v>3.5</v>
      </c>
      <c r="B27" s="524" t="s">
        <v>567</v>
      </c>
      <c r="C27" s="719">
        <v>2874012.9414999997</v>
      </c>
      <c r="D27" s="722">
        <v>2754012.9414999997</v>
      </c>
      <c r="E27" s="723"/>
      <c r="F27" s="723"/>
      <c r="G27" s="723"/>
      <c r="H27" s="722">
        <v>120000</v>
      </c>
      <c r="I27" s="723"/>
      <c r="J27" s="723"/>
      <c r="K27" s="723"/>
      <c r="L27" s="722">
        <v>0</v>
      </c>
      <c r="M27" s="723"/>
      <c r="N27" s="723"/>
      <c r="O27" s="723"/>
      <c r="P27" s="723"/>
      <c r="Q27" s="723"/>
      <c r="R27" s="723"/>
      <c r="S27" s="523"/>
      <c r="T27" s="498"/>
      <c r="U27" s="523"/>
      <c r="V27" s="523"/>
      <c r="W27" s="523"/>
      <c r="X27" s="523"/>
      <c r="Y27" s="523"/>
      <c r="Z27" s="523"/>
      <c r="AA27" s="523"/>
      <c r="AB27" s="522"/>
    </row>
    <row r="28" spans="1:28">
      <c r="A28" s="494">
        <v>3.6</v>
      </c>
      <c r="B28" s="524" t="s">
        <v>568</v>
      </c>
      <c r="C28" s="524"/>
      <c r="D28" s="498"/>
      <c r="E28" s="523"/>
      <c r="F28" s="523"/>
      <c r="G28" s="523"/>
      <c r="H28" s="498"/>
      <c r="I28" s="523"/>
      <c r="J28" s="523"/>
      <c r="K28" s="523"/>
      <c r="L28" s="498"/>
      <c r="M28" s="523"/>
      <c r="N28" s="523"/>
      <c r="O28" s="523"/>
      <c r="P28" s="523"/>
      <c r="Q28" s="523"/>
      <c r="R28" s="523"/>
      <c r="S28" s="523"/>
      <c r="T28" s="498"/>
      <c r="U28" s="523"/>
      <c r="V28" s="523"/>
      <c r="W28" s="523"/>
      <c r="X28" s="523"/>
      <c r="Y28" s="523"/>
      <c r="Z28" s="523"/>
      <c r="AA28" s="523"/>
      <c r="AB28" s="522"/>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70" zoomScaleNormal="70" workbookViewId="0"/>
  </sheetViews>
  <sheetFormatPr defaultColWidth="9.28515625" defaultRowHeight="12.75"/>
  <cols>
    <col min="1" max="1" width="11.7109375" style="505" bestFit="1" customWidth="1"/>
    <col min="2" max="2" width="90.28515625" style="505" bestFit="1" customWidth="1"/>
    <col min="3" max="3" width="20.28515625" style="505" customWidth="1"/>
    <col min="4" max="4" width="22.28515625" style="505" customWidth="1"/>
    <col min="5" max="7" width="17.140625" style="505" customWidth="1"/>
    <col min="8" max="8" width="22.28515625" style="505" customWidth="1"/>
    <col min="9" max="10" width="17.140625" style="505" customWidth="1"/>
    <col min="11" max="27" width="22.28515625" style="505" customWidth="1"/>
    <col min="28" max="16384" width="9.28515625" style="505"/>
  </cols>
  <sheetData>
    <row r="1" spans="1:27" ht="13.5">
      <c r="A1" s="390" t="s">
        <v>108</v>
      </c>
      <c r="B1" s="316" t="str">
        <f>Info!C2</f>
        <v>JSC "VTB Bank (Georgia)"</v>
      </c>
    </row>
    <row r="2" spans="1:27">
      <c r="A2" s="392" t="s">
        <v>109</v>
      </c>
      <c r="B2" s="394">
        <f>Info!D2</f>
        <v>45291</v>
      </c>
    </row>
    <row r="3" spans="1:27">
      <c r="A3" s="393" t="s">
        <v>571</v>
      </c>
      <c r="C3" s="507"/>
    </row>
    <row r="4" spans="1:27" ht="13.5" thickBot="1">
      <c r="A4" s="393"/>
      <c r="B4" s="507"/>
      <c r="C4" s="507"/>
    </row>
    <row r="5" spans="1:27" s="537" customFormat="1" ht="13.5" customHeight="1">
      <c r="A5" s="886" t="s">
        <v>901</v>
      </c>
      <c r="B5" s="887"/>
      <c r="C5" s="883" t="s">
        <v>572</v>
      </c>
      <c r="D5" s="884"/>
      <c r="E5" s="884"/>
      <c r="F5" s="884"/>
      <c r="G5" s="884"/>
      <c r="H5" s="884"/>
      <c r="I5" s="884"/>
      <c r="J5" s="884"/>
      <c r="K5" s="884"/>
      <c r="L5" s="884"/>
      <c r="M5" s="884"/>
      <c r="N5" s="884"/>
      <c r="O5" s="884"/>
      <c r="P5" s="884"/>
      <c r="Q5" s="884"/>
      <c r="R5" s="884"/>
      <c r="S5" s="884"/>
      <c r="T5" s="884"/>
      <c r="U5" s="884"/>
      <c r="V5" s="884"/>
      <c r="W5" s="884"/>
      <c r="X5" s="884"/>
      <c r="Y5" s="884"/>
      <c r="Z5" s="884"/>
      <c r="AA5" s="885"/>
    </row>
    <row r="6" spans="1:27" s="537" customFormat="1" ht="12" customHeight="1">
      <c r="A6" s="888"/>
      <c r="B6" s="889"/>
      <c r="C6" s="893" t="s">
        <v>66</v>
      </c>
      <c r="D6" s="892" t="s">
        <v>892</v>
      </c>
      <c r="E6" s="892"/>
      <c r="F6" s="892"/>
      <c r="G6" s="892"/>
      <c r="H6" s="878" t="s">
        <v>891</v>
      </c>
      <c r="I6" s="879"/>
      <c r="J6" s="879"/>
      <c r="K6" s="879"/>
      <c r="L6" s="533"/>
      <c r="M6" s="860" t="s">
        <v>890</v>
      </c>
      <c r="N6" s="860"/>
      <c r="O6" s="860"/>
      <c r="P6" s="860"/>
      <c r="Q6" s="860"/>
      <c r="R6" s="860"/>
      <c r="S6" s="858"/>
      <c r="T6" s="533"/>
      <c r="U6" s="860" t="s">
        <v>889</v>
      </c>
      <c r="V6" s="860"/>
      <c r="W6" s="860"/>
      <c r="X6" s="860"/>
      <c r="Y6" s="860"/>
      <c r="Z6" s="860"/>
      <c r="AA6" s="882"/>
    </row>
    <row r="7" spans="1:27" s="537" customFormat="1" ht="38.25">
      <c r="A7" s="890"/>
      <c r="B7" s="891"/>
      <c r="C7" s="894"/>
      <c r="D7" s="531"/>
      <c r="E7" s="527" t="s">
        <v>561</v>
      </c>
      <c r="F7" s="502" t="s">
        <v>887</v>
      </c>
      <c r="G7" s="502" t="s">
        <v>888</v>
      </c>
      <c r="H7" s="564"/>
      <c r="I7" s="527" t="s">
        <v>561</v>
      </c>
      <c r="J7" s="502" t="s">
        <v>887</v>
      </c>
      <c r="K7" s="502" t="s">
        <v>888</v>
      </c>
      <c r="L7" s="528"/>
      <c r="M7" s="527" t="s">
        <v>561</v>
      </c>
      <c r="N7" s="502" t="s">
        <v>900</v>
      </c>
      <c r="O7" s="502" t="s">
        <v>899</v>
      </c>
      <c r="P7" s="502" t="s">
        <v>898</v>
      </c>
      <c r="Q7" s="502" t="s">
        <v>897</v>
      </c>
      <c r="R7" s="502" t="s">
        <v>896</v>
      </c>
      <c r="S7" s="502" t="s">
        <v>882</v>
      </c>
      <c r="T7" s="528"/>
      <c r="U7" s="527" t="s">
        <v>561</v>
      </c>
      <c r="V7" s="502" t="s">
        <v>900</v>
      </c>
      <c r="W7" s="502" t="s">
        <v>899</v>
      </c>
      <c r="X7" s="502" t="s">
        <v>898</v>
      </c>
      <c r="Y7" s="502" t="s">
        <v>897</v>
      </c>
      <c r="Z7" s="502" t="s">
        <v>896</v>
      </c>
      <c r="AA7" s="502" t="s">
        <v>882</v>
      </c>
    </row>
    <row r="8" spans="1:27">
      <c r="A8" s="563">
        <v>1</v>
      </c>
      <c r="B8" s="562" t="s">
        <v>562</v>
      </c>
      <c r="C8" s="724">
        <v>210411632.20992896</v>
      </c>
      <c r="D8" s="684">
        <v>87134972.530393347</v>
      </c>
      <c r="E8" s="684">
        <v>87134972.530393347</v>
      </c>
      <c r="F8" s="684">
        <v>0</v>
      </c>
      <c r="G8" s="684">
        <v>0</v>
      </c>
      <c r="H8" s="684">
        <v>69493726.866079658</v>
      </c>
      <c r="I8" s="684">
        <v>40736274.809767678</v>
      </c>
      <c r="J8" s="684">
        <v>1185164.3265</v>
      </c>
      <c r="K8" s="684">
        <v>27572287.729811996</v>
      </c>
      <c r="L8" s="684">
        <v>53782932.813455977</v>
      </c>
      <c r="M8" s="684">
        <v>5555943.3438999997</v>
      </c>
      <c r="N8" s="684">
        <v>116297.84402</v>
      </c>
      <c r="O8" s="684">
        <v>1803304.16</v>
      </c>
      <c r="P8" s="684">
        <v>5234121.79</v>
      </c>
      <c r="Q8" s="684">
        <v>37202775.324535981</v>
      </c>
      <c r="R8" s="684">
        <v>3870490.3509999998</v>
      </c>
      <c r="S8" s="684">
        <v>0</v>
      </c>
      <c r="T8" s="494"/>
      <c r="U8" s="494"/>
      <c r="V8" s="494"/>
      <c r="W8" s="494"/>
      <c r="X8" s="494"/>
      <c r="Y8" s="494"/>
      <c r="Z8" s="494"/>
      <c r="AA8" s="554"/>
    </row>
    <row r="9" spans="1:27">
      <c r="A9" s="560">
        <v>1.1000000000000001</v>
      </c>
      <c r="B9" s="561" t="s">
        <v>573</v>
      </c>
      <c r="C9" s="725">
        <v>197969331.82511902</v>
      </c>
      <c r="D9" s="684">
        <v>77259111.465593368</v>
      </c>
      <c r="E9" s="684">
        <v>77259111.465593353</v>
      </c>
      <c r="F9" s="684">
        <v>0</v>
      </c>
      <c r="G9" s="684">
        <v>0</v>
      </c>
      <c r="H9" s="684">
        <v>69474779.276079655</v>
      </c>
      <c r="I9" s="684">
        <v>40719547.139767677</v>
      </c>
      <c r="J9" s="684">
        <v>1182944.4065</v>
      </c>
      <c r="K9" s="684">
        <v>27572287.729811996</v>
      </c>
      <c r="L9" s="684">
        <v>51235441.083445981</v>
      </c>
      <c r="M9" s="684">
        <v>5494880.7784099998</v>
      </c>
      <c r="N9" s="684">
        <v>83368.33</v>
      </c>
      <c r="O9" s="684">
        <v>1782845.97</v>
      </c>
      <c r="P9" s="684">
        <v>5233821.79</v>
      </c>
      <c r="Q9" s="684">
        <v>34770033.864035994</v>
      </c>
      <c r="R9" s="684">
        <v>3870490.3509999998</v>
      </c>
      <c r="S9" s="684">
        <v>0</v>
      </c>
      <c r="T9" s="494"/>
      <c r="U9" s="494"/>
      <c r="V9" s="494"/>
      <c r="W9" s="494"/>
      <c r="X9" s="494"/>
      <c r="Y9" s="494"/>
      <c r="Z9" s="494"/>
      <c r="AA9" s="554"/>
    </row>
    <row r="10" spans="1:27">
      <c r="A10" s="558" t="s">
        <v>157</v>
      </c>
      <c r="B10" s="559" t="s">
        <v>574</v>
      </c>
      <c r="C10" s="726">
        <v>188394492.52394301</v>
      </c>
      <c r="D10" s="684">
        <v>71676022.565329358</v>
      </c>
      <c r="E10" s="684">
        <v>71676022.565329343</v>
      </c>
      <c r="F10" s="684">
        <v>0</v>
      </c>
      <c r="G10" s="684">
        <v>0</v>
      </c>
      <c r="H10" s="684">
        <v>65566397.205167666</v>
      </c>
      <c r="I10" s="684">
        <v>40719547.139767677</v>
      </c>
      <c r="J10" s="684">
        <v>1173335.1165</v>
      </c>
      <c r="K10" s="684">
        <v>23673514.948899999</v>
      </c>
      <c r="L10" s="684">
        <v>51152072.753445983</v>
      </c>
      <c r="M10" s="684">
        <v>5494880.7784099998</v>
      </c>
      <c r="N10" s="684">
        <v>0</v>
      </c>
      <c r="O10" s="684">
        <v>1782845.97</v>
      </c>
      <c r="P10" s="684">
        <v>5233821.79</v>
      </c>
      <c r="Q10" s="684">
        <v>34770033.864035994</v>
      </c>
      <c r="R10" s="684">
        <v>3870490.3509999998</v>
      </c>
      <c r="S10" s="684">
        <v>0</v>
      </c>
      <c r="T10" s="494"/>
      <c r="U10" s="494"/>
      <c r="V10" s="494"/>
      <c r="W10" s="494"/>
      <c r="X10" s="494"/>
      <c r="Y10" s="494"/>
      <c r="Z10" s="494"/>
      <c r="AA10" s="554"/>
    </row>
    <row r="11" spans="1:27">
      <c r="A11" s="557" t="s">
        <v>575</v>
      </c>
      <c r="B11" s="556" t="s">
        <v>576</v>
      </c>
      <c r="C11" s="727">
        <v>72443873.029831037</v>
      </c>
      <c r="D11" s="684">
        <v>38810049.174113378</v>
      </c>
      <c r="E11" s="684">
        <v>38810049.174113378</v>
      </c>
      <c r="F11" s="684">
        <v>0</v>
      </c>
      <c r="G11" s="684">
        <v>0</v>
      </c>
      <c r="H11" s="684">
        <v>4332315.4774716683</v>
      </c>
      <c r="I11" s="684">
        <v>3158980.3609716678</v>
      </c>
      <c r="J11" s="684">
        <v>1173335.1165</v>
      </c>
      <c r="K11" s="684">
        <v>0</v>
      </c>
      <c r="L11" s="684">
        <v>29301508.378245998</v>
      </c>
      <c r="M11" s="684">
        <v>5494880.7784099998</v>
      </c>
      <c r="N11" s="684">
        <v>0</v>
      </c>
      <c r="O11" s="684">
        <v>1782845.97</v>
      </c>
      <c r="P11" s="684">
        <v>0</v>
      </c>
      <c r="Q11" s="684">
        <v>22023781.629835997</v>
      </c>
      <c r="R11" s="684">
        <v>0</v>
      </c>
      <c r="S11" s="684">
        <v>0</v>
      </c>
      <c r="T11" s="494"/>
      <c r="U11" s="494"/>
      <c r="V11" s="494"/>
      <c r="W11" s="494"/>
      <c r="X11" s="494"/>
      <c r="Y11" s="494"/>
      <c r="Z11" s="494"/>
      <c r="AA11" s="554"/>
    </row>
    <row r="12" spans="1:27">
      <c r="A12" s="557" t="s">
        <v>577</v>
      </c>
      <c r="B12" s="556" t="s">
        <v>578</v>
      </c>
      <c r="C12" s="727">
        <v>14314500.279315999</v>
      </c>
      <c r="D12" s="684">
        <v>3867319.0108999992</v>
      </c>
      <c r="E12" s="684">
        <v>3867319.0108999992</v>
      </c>
      <c r="F12" s="684">
        <v>0</v>
      </c>
      <c r="G12" s="684">
        <v>0</v>
      </c>
      <c r="H12" s="684">
        <v>3918965.5142159997</v>
      </c>
      <c r="I12" s="684">
        <v>3918965.5142159997</v>
      </c>
      <c r="J12" s="684">
        <v>0</v>
      </c>
      <c r="K12" s="684">
        <v>0</v>
      </c>
      <c r="L12" s="684">
        <v>6528215.7542000003</v>
      </c>
      <c r="M12" s="684">
        <v>0</v>
      </c>
      <c r="N12" s="684">
        <v>0</v>
      </c>
      <c r="O12" s="684">
        <v>0</v>
      </c>
      <c r="P12" s="684">
        <v>0</v>
      </c>
      <c r="Q12" s="684">
        <v>6528215.7542000003</v>
      </c>
      <c r="R12" s="684">
        <v>0</v>
      </c>
      <c r="S12" s="684">
        <v>0</v>
      </c>
      <c r="T12" s="494"/>
      <c r="U12" s="494"/>
      <c r="V12" s="494"/>
      <c r="W12" s="494"/>
      <c r="X12" s="494"/>
      <c r="Y12" s="494"/>
      <c r="Z12" s="494"/>
      <c r="AA12" s="554"/>
    </row>
    <row r="13" spans="1:27">
      <c r="A13" s="557" t="s">
        <v>579</v>
      </c>
      <c r="B13" s="556" t="s">
        <v>580</v>
      </c>
      <c r="C13" s="727">
        <v>39197989.740906</v>
      </c>
      <c r="D13" s="684">
        <v>9978512.3764060009</v>
      </c>
      <c r="E13" s="684">
        <v>9978512.3764060009</v>
      </c>
      <c r="F13" s="684">
        <v>0</v>
      </c>
      <c r="G13" s="684">
        <v>0</v>
      </c>
      <c r="H13" s="684">
        <v>19651773.368900001</v>
      </c>
      <c r="I13" s="684">
        <v>0</v>
      </c>
      <c r="J13" s="684">
        <v>0</v>
      </c>
      <c r="K13" s="684">
        <v>19651773.368900001</v>
      </c>
      <c r="L13" s="684">
        <v>9567703.9956</v>
      </c>
      <c r="M13" s="684">
        <v>0</v>
      </c>
      <c r="N13" s="684">
        <v>0</v>
      </c>
      <c r="O13" s="684">
        <v>0</v>
      </c>
      <c r="P13" s="684">
        <v>5233821.79</v>
      </c>
      <c r="Q13" s="684">
        <v>3973707</v>
      </c>
      <c r="R13" s="684">
        <v>360175.20559999999</v>
      </c>
      <c r="S13" s="684">
        <v>0</v>
      </c>
      <c r="T13" s="494"/>
      <c r="U13" s="494"/>
      <c r="V13" s="494"/>
      <c r="W13" s="494"/>
      <c r="X13" s="494"/>
      <c r="Y13" s="494"/>
      <c r="Z13" s="494"/>
      <c r="AA13" s="554"/>
    </row>
    <row r="14" spans="1:27">
      <c r="A14" s="557" t="s">
        <v>581</v>
      </c>
      <c r="B14" s="556" t="s">
        <v>582</v>
      </c>
      <c r="C14" s="727">
        <v>62438129.473889999</v>
      </c>
      <c r="D14" s="684">
        <v>19020142.003909998</v>
      </c>
      <c r="E14" s="684">
        <v>19020142.003909998</v>
      </c>
      <c r="F14" s="684">
        <v>0</v>
      </c>
      <c r="G14" s="684">
        <v>0</v>
      </c>
      <c r="H14" s="684">
        <v>37663342.844580002</v>
      </c>
      <c r="I14" s="684">
        <v>33641601.264579996</v>
      </c>
      <c r="J14" s="684">
        <v>0</v>
      </c>
      <c r="K14" s="684">
        <v>4021741.5799999996</v>
      </c>
      <c r="L14" s="684">
        <v>5754644.6253999993</v>
      </c>
      <c r="M14" s="684">
        <v>0</v>
      </c>
      <c r="N14" s="684">
        <v>0</v>
      </c>
      <c r="O14" s="684">
        <v>0</v>
      </c>
      <c r="P14" s="684">
        <v>0</v>
      </c>
      <c r="Q14" s="684">
        <v>2244329.4799999995</v>
      </c>
      <c r="R14" s="684">
        <v>3510315.1453999998</v>
      </c>
      <c r="S14" s="684">
        <v>0</v>
      </c>
      <c r="T14" s="494"/>
      <c r="U14" s="494"/>
      <c r="V14" s="494"/>
      <c r="W14" s="494"/>
      <c r="X14" s="494"/>
      <c r="Y14" s="494"/>
      <c r="Z14" s="494"/>
      <c r="AA14" s="554"/>
    </row>
    <row r="15" spans="1:27">
      <c r="A15" s="555">
        <v>1.2</v>
      </c>
      <c r="B15" s="552" t="s">
        <v>895</v>
      </c>
      <c r="C15" s="728">
        <v>11612036.233496722</v>
      </c>
      <c r="D15" s="684">
        <v>304984.64597225667</v>
      </c>
      <c r="E15" s="684">
        <v>304984.64597225678</v>
      </c>
      <c r="F15" s="684">
        <v>0</v>
      </c>
      <c r="G15" s="684">
        <v>0</v>
      </c>
      <c r="H15" s="684">
        <v>180355.5485505439</v>
      </c>
      <c r="I15" s="684">
        <v>166479.99637387207</v>
      </c>
      <c r="J15" s="684">
        <v>2776.6454376885981</v>
      </c>
      <c r="K15" s="684">
        <v>11098.906738983253</v>
      </c>
      <c r="L15" s="684">
        <v>11126696.038973922</v>
      </c>
      <c r="M15" s="684">
        <v>1434799.8151903001</v>
      </c>
      <c r="N15" s="684">
        <v>83368.33</v>
      </c>
      <c r="O15" s="684">
        <v>254692.2814285715</v>
      </c>
      <c r="P15" s="684">
        <v>1296169.9177812899</v>
      </c>
      <c r="Q15" s="684">
        <v>6146121.1092073238</v>
      </c>
      <c r="R15" s="684">
        <v>1911544.5853664351</v>
      </c>
      <c r="S15" s="684">
        <v>0</v>
      </c>
      <c r="T15" s="494"/>
      <c r="U15" s="494"/>
      <c r="V15" s="494"/>
      <c r="W15" s="494"/>
      <c r="X15" s="494"/>
      <c r="Y15" s="494"/>
      <c r="Z15" s="494"/>
      <c r="AA15" s="554"/>
    </row>
    <row r="16" spans="1:27">
      <c r="A16" s="553">
        <v>1.3</v>
      </c>
      <c r="B16" s="552" t="s">
        <v>583</v>
      </c>
      <c r="C16" s="729">
        <v>0</v>
      </c>
      <c r="D16" s="730"/>
      <c r="E16" s="730"/>
      <c r="F16" s="730"/>
      <c r="G16" s="730"/>
      <c r="H16" s="730"/>
      <c r="I16" s="730"/>
      <c r="J16" s="730"/>
      <c r="K16" s="730"/>
      <c r="L16" s="730"/>
      <c r="M16" s="730"/>
      <c r="N16" s="730"/>
      <c r="O16" s="730"/>
      <c r="P16" s="730"/>
      <c r="Q16" s="730"/>
      <c r="R16" s="730"/>
      <c r="S16" s="730"/>
      <c r="T16" s="551"/>
      <c r="U16" s="551"/>
      <c r="V16" s="551"/>
      <c r="W16" s="551"/>
      <c r="X16" s="551"/>
      <c r="Y16" s="551"/>
      <c r="Z16" s="551"/>
      <c r="AA16" s="550"/>
    </row>
    <row r="17" spans="1:27" s="537" customFormat="1" ht="25.5">
      <c r="A17" s="548" t="s">
        <v>584</v>
      </c>
      <c r="B17" s="549" t="s">
        <v>585</v>
      </c>
      <c r="C17" s="731">
        <v>182698817.91990903</v>
      </c>
      <c r="D17" s="646">
        <v>62888300.235783361</v>
      </c>
      <c r="E17" s="646">
        <v>62888300.235783368</v>
      </c>
      <c r="F17" s="646">
        <v>0</v>
      </c>
      <c r="G17" s="646">
        <v>0</v>
      </c>
      <c r="H17" s="646">
        <v>69474779.276079655</v>
      </c>
      <c r="I17" s="646">
        <v>40719547.139767677</v>
      </c>
      <c r="J17" s="646">
        <v>1182944.4065</v>
      </c>
      <c r="K17" s="646">
        <v>27572287.729811996</v>
      </c>
      <c r="L17" s="646">
        <v>50335738.408046</v>
      </c>
      <c r="M17" s="646">
        <v>5494880.7784099998</v>
      </c>
      <c r="N17" s="646">
        <v>0</v>
      </c>
      <c r="O17" s="646">
        <v>1782845.97</v>
      </c>
      <c r="P17" s="646">
        <v>5233821.79</v>
      </c>
      <c r="Q17" s="646">
        <v>34770033.864035994</v>
      </c>
      <c r="R17" s="646">
        <v>3054156.0056000119</v>
      </c>
      <c r="S17" s="646">
        <v>0</v>
      </c>
      <c r="T17" s="495"/>
      <c r="U17" s="495"/>
      <c r="V17" s="495"/>
      <c r="W17" s="495"/>
      <c r="X17" s="495"/>
      <c r="Y17" s="495"/>
      <c r="Z17" s="495"/>
      <c r="AA17" s="542"/>
    </row>
    <row r="18" spans="1:27" s="537" customFormat="1" ht="25.5">
      <c r="A18" s="545" t="s">
        <v>586</v>
      </c>
      <c r="B18" s="546" t="s">
        <v>587</v>
      </c>
      <c r="C18" s="732">
        <v>166058249.85885301</v>
      </c>
      <c r="D18" s="646">
        <v>57339956.265519358</v>
      </c>
      <c r="E18" s="646">
        <v>57339956.265519366</v>
      </c>
      <c r="F18" s="646">
        <v>0</v>
      </c>
      <c r="G18" s="646">
        <v>0</v>
      </c>
      <c r="H18" s="646">
        <v>58568989.648087658</v>
      </c>
      <c r="I18" s="646">
        <v>33982591.475087665</v>
      </c>
      <c r="J18" s="646">
        <v>0</v>
      </c>
      <c r="K18" s="646">
        <v>23413063.056499999</v>
      </c>
      <c r="L18" s="646">
        <v>50149303.945245989</v>
      </c>
      <c r="M18" s="646">
        <v>5494880.7784099998</v>
      </c>
      <c r="N18" s="646">
        <v>0</v>
      </c>
      <c r="O18" s="646">
        <v>1782845.97</v>
      </c>
      <c r="P18" s="646">
        <v>5233821.79</v>
      </c>
      <c r="Q18" s="646">
        <v>34583599.401235998</v>
      </c>
      <c r="R18" s="646">
        <v>3054156.0055999998</v>
      </c>
      <c r="S18" s="646">
        <v>0</v>
      </c>
      <c r="T18" s="495"/>
      <c r="U18" s="495"/>
      <c r="V18" s="495"/>
      <c r="W18" s="495"/>
      <c r="X18" s="495"/>
      <c r="Y18" s="495"/>
      <c r="Z18" s="495"/>
      <c r="AA18" s="542"/>
    </row>
    <row r="19" spans="1:27" s="537" customFormat="1">
      <c r="A19" s="548" t="s">
        <v>588</v>
      </c>
      <c r="B19" s="547" t="s">
        <v>589</v>
      </c>
      <c r="C19" s="733">
        <v>540554596.79659092</v>
      </c>
      <c r="D19" s="646">
        <v>312864770.70861661</v>
      </c>
      <c r="E19" s="646">
        <v>312864770.70861661</v>
      </c>
      <c r="F19" s="646">
        <v>0</v>
      </c>
      <c r="G19" s="646">
        <v>0</v>
      </c>
      <c r="H19" s="646">
        <v>127574719.84502031</v>
      </c>
      <c r="I19" s="646">
        <v>33214523.767832324</v>
      </c>
      <c r="J19" s="646">
        <v>94723.824800000017</v>
      </c>
      <c r="K19" s="646">
        <v>73604331.871688008</v>
      </c>
      <c r="L19" s="646">
        <v>100115106.24295399</v>
      </c>
      <c r="M19" s="646">
        <v>20565867.221590001</v>
      </c>
      <c r="N19" s="646">
        <v>0</v>
      </c>
      <c r="O19" s="646">
        <v>2550701.4127999982</v>
      </c>
      <c r="P19" s="646">
        <v>8383685.7536999993</v>
      </c>
      <c r="Q19" s="646">
        <v>68589593.060463995</v>
      </c>
      <c r="R19" s="646">
        <v>25258.794400000013</v>
      </c>
      <c r="S19" s="646">
        <v>0</v>
      </c>
      <c r="T19" s="495"/>
      <c r="U19" s="495"/>
      <c r="V19" s="495"/>
      <c r="W19" s="495"/>
      <c r="X19" s="495"/>
      <c r="Y19" s="495"/>
      <c r="Z19" s="495"/>
      <c r="AA19" s="542"/>
    </row>
    <row r="20" spans="1:27" s="537" customFormat="1">
      <c r="A20" s="545" t="s">
        <v>590</v>
      </c>
      <c r="B20" s="546" t="s">
        <v>591</v>
      </c>
      <c r="C20" s="732">
        <v>344437517.78114688</v>
      </c>
      <c r="D20" s="646">
        <v>275039532.01568055</v>
      </c>
      <c r="E20" s="646">
        <v>275039532.01568061</v>
      </c>
      <c r="F20" s="646">
        <v>0</v>
      </c>
      <c r="G20" s="646">
        <v>0</v>
      </c>
      <c r="H20" s="646">
        <v>25503740.29221233</v>
      </c>
      <c r="I20" s="646">
        <v>4660638.2477123318</v>
      </c>
      <c r="J20" s="646">
        <v>0</v>
      </c>
      <c r="K20" s="646">
        <v>134605.16100000218</v>
      </c>
      <c r="L20" s="646">
        <v>43894245.473254003</v>
      </c>
      <c r="M20" s="646">
        <v>5743563.2215900002</v>
      </c>
      <c r="N20" s="646">
        <v>0</v>
      </c>
      <c r="O20" s="646">
        <v>2550701.4128</v>
      </c>
      <c r="P20" s="646">
        <v>810245.75369999977</v>
      </c>
      <c r="Q20" s="646">
        <v>34764476.290763997</v>
      </c>
      <c r="R20" s="646">
        <v>25258.794400000013</v>
      </c>
      <c r="S20" s="646">
        <v>0</v>
      </c>
      <c r="T20" s="495"/>
      <c r="U20" s="495"/>
      <c r="V20" s="495"/>
      <c r="W20" s="495"/>
      <c r="X20" s="495"/>
      <c r="Y20" s="495"/>
      <c r="Z20" s="495"/>
      <c r="AA20" s="542"/>
    </row>
    <row r="21" spans="1:27" s="537" customFormat="1">
      <c r="A21" s="544">
        <v>1.4</v>
      </c>
      <c r="B21" s="543" t="s">
        <v>680</v>
      </c>
      <c r="C21" s="734">
        <v>44648.72</v>
      </c>
      <c r="D21" s="646">
        <v>44648.72</v>
      </c>
      <c r="E21" s="646">
        <v>44648.72</v>
      </c>
      <c r="F21" s="646">
        <v>0</v>
      </c>
      <c r="G21" s="646">
        <v>0</v>
      </c>
      <c r="H21" s="646">
        <v>0</v>
      </c>
      <c r="I21" s="646">
        <v>0</v>
      </c>
      <c r="J21" s="646">
        <v>0</v>
      </c>
      <c r="K21" s="646">
        <v>0</v>
      </c>
      <c r="L21" s="646">
        <v>0</v>
      </c>
      <c r="M21" s="646">
        <v>0</v>
      </c>
      <c r="N21" s="646">
        <v>0</v>
      </c>
      <c r="O21" s="646">
        <v>0</v>
      </c>
      <c r="P21" s="646">
        <v>0</v>
      </c>
      <c r="Q21" s="646">
        <v>0</v>
      </c>
      <c r="R21" s="646">
        <v>0</v>
      </c>
      <c r="S21" s="646">
        <v>0</v>
      </c>
      <c r="T21" s="495"/>
      <c r="U21" s="495"/>
      <c r="V21" s="495"/>
      <c r="W21" s="495"/>
      <c r="X21" s="495"/>
      <c r="Y21" s="495"/>
      <c r="Z21" s="495"/>
      <c r="AA21" s="542"/>
    </row>
    <row r="22" spans="1:27" s="537" customFormat="1" ht="13.5" thickBot="1">
      <c r="A22" s="541">
        <v>1.5</v>
      </c>
      <c r="B22" s="540" t="s">
        <v>681</v>
      </c>
      <c r="C22" s="735">
        <v>0</v>
      </c>
      <c r="D22" s="736">
        <v>0</v>
      </c>
      <c r="E22" s="736">
        <v>0</v>
      </c>
      <c r="F22" s="736">
        <v>0</v>
      </c>
      <c r="G22" s="736">
        <v>0</v>
      </c>
      <c r="H22" s="736">
        <v>0</v>
      </c>
      <c r="I22" s="736">
        <v>0</v>
      </c>
      <c r="J22" s="736">
        <v>0</v>
      </c>
      <c r="K22" s="736">
        <v>0</v>
      </c>
      <c r="L22" s="736">
        <v>0</v>
      </c>
      <c r="M22" s="736">
        <v>0</v>
      </c>
      <c r="N22" s="736">
        <v>0</v>
      </c>
      <c r="O22" s="736">
        <v>0</v>
      </c>
      <c r="P22" s="736">
        <v>0</v>
      </c>
      <c r="Q22" s="736">
        <v>0</v>
      </c>
      <c r="R22" s="736">
        <v>0</v>
      </c>
      <c r="S22" s="736">
        <v>0</v>
      </c>
      <c r="T22" s="539"/>
      <c r="U22" s="539"/>
      <c r="V22" s="539"/>
      <c r="W22" s="539"/>
      <c r="X22" s="539"/>
      <c r="Y22" s="539"/>
      <c r="Z22" s="539"/>
      <c r="AA22" s="53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zoomScale="55" zoomScaleNormal="55" workbookViewId="0">
      <selection activeCell="C7" sqref="C7:Z39"/>
    </sheetView>
  </sheetViews>
  <sheetFormatPr defaultColWidth="9.28515625" defaultRowHeight="12.75"/>
  <cols>
    <col min="1" max="1" width="11.7109375" style="505" bestFit="1" customWidth="1"/>
    <col min="2" max="2" width="93.42578125" style="505" customWidth="1"/>
    <col min="3" max="3" width="17.140625" style="505" bestFit="1" customWidth="1"/>
    <col min="4" max="5" width="16.140625" style="505" customWidth="1"/>
    <col min="6" max="6" width="16.140625" style="565" customWidth="1"/>
    <col min="7" max="7" width="32" style="565" customWidth="1"/>
    <col min="8" max="8" width="16.140625" style="505" customWidth="1"/>
    <col min="9" max="11" width="16.140625" style="565" customWidth="1"/>
    <col min="12" max="12" width="29.42578125" style="565" customWidth="1"/>
    <col min="13" max="16384" width="9.28515625" style="505"/>
  </cols>
  <sheetData>
    <row r="1" spans="1:13" ht="13.5">
      <c r="A1" s="390" t="s">
        <v>108</v>
      </c>
      <c r="B1" s="316" t="str">
        <f>Info!C2</f>
        <v>JSC "VTB Bank (Georgia)"</v>
      </c>
      <c r="F1" s="505"/>
      <c r="G1" s="505"/>
      <c r="I1" s="505"/>
      <c r="J1" s="505"/>
      <c r="K1" s="505"/>
      <c r="L1" s="505"/>
    </row>
    <row r="2" spans="1:13">
      <c r="A2" s="392" t="s">
        <v>109</v>
      </c>
      <c r="B2" s="394">
        <f>Info!D2</f>
        <v>45291</v>
      </c>
      <c r="F2" s="505"/>
      <c r="G2" s="505"/>
      <c r="I2" s="505"/>
      <c r="J2" s="505"/>
      <c r="K2" s="505"/>
      <c r="L2" s="505"/>
    </row>
    <row r="3" spans="1:13">
      <c r="A3" s="393" t="s">
        <v>594</v>
      </c>
      <c r="F3" s="505"/>
      <c r="G3" s="505"/>
      <c r="I3" s="505"/>
      <c r="J3" s="505"/>
      <c r="K3" s="505"/>
      <c r="L3" s="505"/>
    </row>
    <row r="4" spans="1:13">
      <c r="F4" s="505"/>
      <c r="G4" s="505"/>
      <c r="I4" s="505"/>
      <c r="J4" s="505"/>
      <c r="K4" s="505"/>
      <c r="L4" s="505"/>
    </row>
    <row r="5" spans="1:13" ht="37.5" customHeight="1">
      <c r="A5" s="844" t="s">
        <v>595</v>
      </c>
      <c r="B5" s="845"/>
      <c r="C5" s="895" t="s">
        <v>596</v>
      </c>
      <c r="D5" s="896"/>
      <c r="E5" s="896"/>
      <c r="F5" s="896"/>
      <c r="G5" s="896"/>
      <c r="H5" s="897" t="s">
        <v>907</v>
      </c>
      <c r="I5" s="898"/>
      <c r="J5" s="898"/>
      <c r="K5" s="898"/>
      <c r="L5" s="899"/>
    </row>
    <row r="6" spans="1:13" ht="39.4" customHeight="1">
      <c r="A6" s="848"/>
      <c r="B6" s="849"/>
      <c r="C6" s="400"/>
      <c r="D6" s="503" t="s">
        <v>892</v>
      </c>
      <c r="E6" s="503" t="s">
        <v>891</v>
      </c>
      <c r="F6" s="503" t="s">
        <v>890</v>
      </c>
      <c r="G6" s="503" t="s">
        <v>889</v>
      </c>
      <c r="H6" s="568"/>
      <c r="I6" s="503" t="s">
        <v>892</v>
      </c>
      <c r="J6" s="503" t="s">
        <v>891</v>
      </c>
      <c r="K6" s="503" t="s">
        <v>890</v>
      </c>
      <c r="L6" s="503" t="s">
        <v>889</v>
      </c>
    </row>
    <row r="7" spans="1:13" ht="18">
      <c r="A7" s="494">
        <v>1</v>
      </c>
      <c r="B7" s="509" t="s">
        <v>518</v>
      </c>
      <c r="C7" s="737">
        <v>0</v>
      </c>
      <c r="D7" s="684">
        <v>0</v>
      </c>
      <c r="E7" s="684">
        <v>0</v>
      </c>
      <c r="F7" s="738">
        <v>0</v>
      </c>
      <c r="G7" s="738">
        <v>0</v>
      </c>
      <c r="H7" s="684">
        <v>0</v>
      </c>
      <c r="I7" s="738">
        <v>0</v>
      </c>
      <c r="J7" s="738">
        <v>0</v>
      </c>
      <c r="K7" s="738">
        <v>0</v>
      </c>
      <c r="L7" s="738">
        <v>0</v>
      </c>
      <c r="M7" s="682"/>
    </row>
    <row r="8" spans="1:13">
      <c r="A8" s="494">
        <v>2</v>
      </c>
      <c r="B8" s="509" t="s">
        <v>519</v>
      </c>
      <c r="C8" s="737">
        <v>8428528.0947149992</v>
      </c>
      <c r="D8" s="684">
        <v>7409625.8747950001</v>
      </c>
      <c r="E8" s="684">
        <v>344995.03199999995</v>
      </c>
      <c r="F8" s="739">
        <v>673907.18791999994</v>
      </c>
      <c r="G8" s="739"/>
      <c r="H8" s="684">
        <v>604070.92373495782</v>
      </c>
      <c r="I8" s="739">
        <v>17996.297505701801</v>
      </c>
      <c r="J8" s="739">
        <v>6112.938559417199</v>
      </c>
      <c r="K8" s="739">
        <v>579961.68766983878</v>
      </c>
      <c r="L8" s="739"/>
      <c r="M8" s="682"/>
    </row>
    <row r="9" spans="1:13">
      <c r="A9" s="494">
        <v>3</v>
      </c>
      <c r="B9" s="509" t="s">
        <v>868</v>
      </c>
      <c r="C9" s="737">
        <v>0</v>
      </c>
      <c r="D9" s="684">
        <v>0</v>
      </c>
      <c r="E9" s="684">
        <v>0</v>
      </c>
      <c r="F9" s="740">
        <v>0</v>
      </c>
      <c r="G9" s="740"/>
      <c r="H9" s="684">
        <v>0</v>
      </c>
      <c r="I9" s="740">
        <v>0</v>
      </c>
      <c r="J9" s="740">
        <v>0</v>
      </c>
      <c r="K9" s="740">
        <v>0</v>
      </c>
      <c r="L9" s="740"/>
      <c r="M9" s="682"/>
    </row>
    <row r="10" spans="1:13">
      <c r="A10" s="494">
        <v>4</v>
      </c>
      <c r="B10" s="509" t="s">
        <v>520</v>
      </c>
      <c r="C10" s="737">
        <v>6888390.9598000003</v>
      </c>
      <c r="D10" s="684">
        <v>0</v>
      </c>
      <c r="E10" s="684">
        <v>0</v>
      </c>
      <c r="F10" s="740">
        <v>6888390.9598000003</v>
      </c>
      <c r="G10" s="740"/>
      <c r="H10" s="684">
        <v>808054.04195817222</v>
      </c>
      <c r="I10" s="740">
        <v>0</v>
      </c>
      <c r="J10" s="740">
        <v>0</v>
      </c>
      <c r="K10" s="740">
        <v>808054.04195817222</v>
      </c>
      <c r="L10" s="740"/>
      <c r="M10" s="682"/>
    </row>
    <row r="11" spans="1:13">
      <c r="A11" s="494">
        <v>5</v>
      </c>
      <c r="B11" s="509" t="s">
        <v>521</v>
      </c>
      <c r="C11" s="737">
        <v>8243042.2274359995</v>
      </c>
      <c r="D11" s="684">
        <v>7535682.4250999996</v>
      </c>
      <c r="E11" s="684">
        <v>0</v>
      </c>
      <c r="F11" s="740">
        <v>707359.80233600002</v>
      </c>
      <c r="G11" s="740"/>
      <c r="H11" s="684">
        <v>93458.104282343382</v>
      </c>
      <c r="I11" s="740">
        <v>4287.9288734815855</v>
      </c>
      <c r="J11" s="740">
        <v>0</v>
      </c>
      <c r="K11" s="740">
        <v>89170.175408861789</v>
      </c>
      <c r="L11" s="740"/>
      <c r="M11" s="682"/>
    </row>
    <row r="12" spans="1:13">
      <c r="A12" s="494">
        <v>6</v>
      </c>
      <c r="B12" s="509" t="s">
        <v>522</v>
      </c>
      <c r="C12" s="737">
        <v>0</v>
      </c>
      <c r="D12" s="684">
        <v>0</v>
      </c>
      <c r="E12" s="684">
        <v>0</v>
      </c>
      <c r="F12" s="740">
        <v>0</v>
      </c>
      <c r="G12" s="740"/>
      <c r="H12" s="684">
        <v>0</v>
      </c>
      <c r="I12" s="740">
        <v>0</v>
      </c>
      <c r="J12" s="740">
        <v>0</v>
      </c>
      <c r="K12" s="740">
        <v>0</v>
      </c>
      <c r="L12" s="740"/>
      <c r="M12" s="682"/>
    </row>
    <row r="13" spans="1:13">
      <c r="A13" s="494">
        <v>7</v>
      </c>
      <c r="B13" s="509" t="s">
        <v>523</v>
      </c>
      <c r="C13" s="737">
        <v>0</v>
      </c>
      <c r="D13" s="684">
        <v>0</v>
      </c>
      <c r="E13" s="684">
        <v>0</v>
      </c>
      <c r="F13" s="740">
        <v>0</v>
      </c>
      <c r="G13" s="740"/>
      <c r="H13" s="684">
        <v>0</v>
      </c>
      <c r="I13" s="740">
        <v>0</v>
      </c>
      <c r="J13" s="740">
        <v>0</v>
      </c>
      <c r="K13" s="740">
        <v>0</v>
      </c>
      <c r="L13" s="740"/>
      <c r="M13" s="682"/>
    </row>
    <row r="14" spans="1:13">
      <c r="A14" s="494">
        <v>8</v>
      </c>
      <c r="B14" s="509" t="s">
        <v>524</v>
      </c>
      <c r="C14" s="737">
        <v>48039736.940898009</v>
      </c>
      <c r="D14" s="684">
        <v>9787012.3972059991</v>
      </c>
      <c r="E14" s="684">
        <v>37869330.803192005</v>
      </c>
      <c r="F14" s="740">
        <v>383393.74050000001</v>
      </c>
      <c r="G14" s="740"/>
      <c r="H14" s="684">
        <v>467510.77579009929</v>
      </c>
      <c r="I14" s="740">
        <v>6089.5924402974433</v>
      </c>
      <c r="J14" s="740">
        <v>115819.11155623042</v>
      </c>
      <c r="K14" s="740">
        <v>345602.07179357141</v>
      </c>
      <c r="L14" s="740"/>
      <c r="M14" s="682"/>
    </row>
    <row r="15" spans="1:13">
      <c r="A15" s="494">
        <v>9</v>
      </c>
      <c r="B15" s="509" t="s">
        <v>525</v>
      </c>
      <c r="C15" s="737">
        <v>34777809.170815997</v>
      </c>
      <c r="D15" s="684">
        <v>3113460.0300000003</v>
      </c>
      <c r="E15" s="684">
        <v>14007651.515815997</v>
      </c>
      <c r="F15" s="740">
        <v>17656697.625</v>
      </c>
      <c r="G15" s="740"/>
      <c r="H15" s="684">
        <v>2689969.906199622</v>
      </c>
      <c r="I15" s="740">
        <v>1937.6322566656904</v>
      </c>
      <c r="J15" s="740">
        <v>40132.626170130345</v>
      </c>
      <c r="K15" s="740">
        <v>2647899.6477728258</v>
      </c>
      <c r="L15" s="740"/>
      <c r="M15" s="682"/>
    </row>
    <row r="16" spans="1:13">
      <c r="A16" s="494">
        <v>10</v>
      </c>
      <c r="B16" s="509" t="s">
        <v>526</v>
      </c>
      <c r="C16" s="737">
        <v>9609.2900000000009</v>
      </c>
      <c r="D16" s="684">
        <v>0</v>
      </c>
      <c r="E16" s="684">
        <v>9609.2900000000009</v>
      </c>
      <c r="F16" s="740">
        <v>0</v>
      </c>
      <c r="G16" s="740"/>
      <c r="H16" s="684">
        <v>68.529309569207996</v>
      </c>
      <c r="I16" s="740">
        <v>0</v>
      </c>
      <c r="J16" s="740">
        <v>68.529309569207996</v>
      </c>
      <c r="K16" s="740">
        <v>0</v>
      </c>
      <c r="L16" s="740"/>
      <c r="M16" s="682"/>
    </row>
    <row r="17" spans="1:13">
      <c r="A17" s="494">
        <v>11</v>
      </c>
      <c r="B17" s="509" t="s">
        <v>527</v>
      </c>
      <c r="C17" s="737">
        <v>0</v>
      </c>
      <c r="D17" s="684">
        <v>0</v>
      </c>
      <c r="E17" s="684">
        <v>0</v>
      </c>
      <c r="F17" s="740">
        <v>0</v>
      </c>
      <c r="G17" s="740"/>
      <c r="H17" s="684">
        <v>0</v>
      </c>
      <c r="I17" s="740">
        <v>0</v>
      </c>
      <c r="J17" s="740">
        <v>0</v>
      </c>
      <c r="K17" s="740">
        <v>0</v>
      </c>
      <c r="L17" s="740"/>
      <c r="M17" s="682"/>
    </row>
    <row r="18" spans="1:13">
      <c r="A18" s="494">
        <v>12</v>
      </c>
      <c r="B18" s="509" t="s">
        <v>528</v>
      </c>
      <c r="C18" s="737">
        <v>6269483.0112999994</v>
      </c>
      <c r="D18" s="684">
        <v>5427790.0312999999</v>
      </c>
      <c r="E18" s="684">
        <v>0</v>
      </c>
      <c r="F18" s="740">
        <v>841692.98</v>
      </c>
      <c r="G18" s="740"/>
      <c r="H18" s="684">
        <v>425991.69335595641</v>
      </c>
      <c r="I18" s="740">
        <v>4724.3568659563798</v>
      </c>
      <c r="J18" s="740">
        <v>0</v>
      </c>
      <c r="K18" s="740">
        <v>421267.33649000002</v>
      </c>
      <c r="L18" s="740"/>
      <c r="M18" s="682"/>
    </row>
    <row r="19" spans="1:13">
      <c r="A19" s="494">
        <v>13</v>
      </c>
      <c r="B19" s="509" t="s">
        <v>529</v>
      </c>
      <c r="C19" s="737">
        <v>3926670.4721143837</v>
      </c>
      <c r="D19" s="684">
        <v>3926670.4721143837</v>
      </c>
      <c r="E19" s="684">
        <v>0</v>
      </c>
      <c r="F19" s="740">
        <v>0</v>
      </c>
      <c r="G19" s="740"/>
      <c r="H19" s="684">
        <v>10863.428708041778</v>
      </c>
      <c r="I19" s="740">
        <v>10863.428708041778</v>
      </c>
      <c r="J19" s="740">
        <v>0</v>
      </c>
      <c r="K19" s="740">
        <v>0</v>
      </c>
      <c r="L19" s="740"/>
      <c r="M19" s="682"/>
    </row>
    <row r="20" spans="1:13">
      <c r="A20" s="494">
        <v>14</v>
      </c>
      <c r="B20" s="509" t="s">
        <v>530</v>
      </c>
      <c r="C20" s="737">
        <v>35919290.884571671</v>
      </c>
      <c r="D20" s="684">
        <v>23681225.865600001</v>
      </c>
      <c r="E20" s="684">
        <v>3030536.2289716681</v>
      </c>
      <c r="F20" s="740">
        <v>9207528.7899999991</v>
      </c>
      <c r="G20" s="740"/>
      <c r="H20" s="684">
        <v>2475637.7030173987</v>
      </c>
      <c r="I20" s="740">
        <v>235949.01136064032</v>
      </c>
      <c r="J20" s="740">
        <v>5517.989751128418</v>
      </c>
      <c r="K20" s="740">
        <v>2234170.7019056301</v>
      </c>
      <c r="L20" s="740"/>
      <c r="M20" s="682"/>
    </row>
    <row r="21" spans="1:13">
      <c r="A21" s="494">
        <v>15</v>
      </c>
      <c r="B21" s="509" t="s">
        <v>531</v>
      </c>
      <c r="C21" s="737">
        <v>0</v>
      </c>
      <c r="D21" s="684">
        <v>0</v>
      </c>
      <c r="E21" s="684">
        <v>0</v>
      </c>
      <c r="F21" s="740">
        <v>0</v>
      </c>
      <c r="G21" s="740"/>
      <c r="H21" s="684">
        <v>0</v>
      </c>
      <c r="I21" s="740">
        <v>0</v>
      </c>
      <c r="J21" s="740">
        <v>0</v>
      </c>
      <c r="K21" s="740">
        <v>0</v>
      </c>
      <c r="L21" s="740"/>
      <c r="M21" s="682"/>
    </row>
    <row r="22" spans="1:13">
      <c r="A22" s="494">
        <v>16</v>
      </c>
      <c r="B22" s="509" t="s">
        <v>532</v>
      </c>
      <c r="C22" s="737">
        <v>0</v>
      </c>
      <c r="D22" s="684">
        <v>0</v>
      </c>
      <c r="E22" s="684">
        <v>0</v>
      </c>
      <c r="F22" s="740">
        <v>0</v>
      </c>
      <c r="G22" s="740"/>
      <c r="H22" s="684">
        <v>0</v>
      </c>
      <c r="I22" s="740">
        <v>0</v>
      </c>
      <c r="J22" s="740">
        <v>0</v>
      </c>
      <c r="K22" s="740">
        <v>0</v>
      </c>
      <c r="L22" s="740"/>
      <c r="M22" s="682"/>
    </row>
    <row r="23" spans="1:13">
      <c r="A23" s="494">
        <v>17</v>
      </c>
      <c r="B23" s="509" t="s">
        <v>533</v>
      </c>
      <c r="C23" s="737">
        <v>24812676.465</v>
      </c>
      <c r="D23" s="684">
        <v>8244092.4400000004</v>
      </c>
      <c r="E23" s="684">
        <v>13058268.8796</v>
      </c>
      <c r="F23" s="740">
        <v>3510315.1453999998</v>
      </c>
      <c r="G23" s="740"/>
      <c r="H23" s="684">
        <v>1797085.3383943364</v>
      </c>
      <c r="I23" s="740">
        <v>22501.118656874001</v>
      </c>
      <c r="J23" s="740">
        <v>11730.554821039519</v>
      </c>
      <c r="K23" s="740">
        <v>1762853.6649164229</v>
      </c>
      <c r="L23" s="740"/>
      <c r="M23" s="682"/>
    </row>
    <row r="24" spans="1:13">
      <c r="A24" s="494">
        <v>18</v>
      </c>
      <c r="B24" s="509" t="s">
        <v>534</v>
      </c>
      <c r="C24" s="737">
        <v>0</v>
      </c>
      <c r="D24" s="684">
        <v>0</v>
      </c>
      <c r="E24" s="684">
        <v>0</v>
      </c>
      <c r="F24" s="740">
        <v>0</v>
      </c>
      <c r="G24" s="740"/>
      <c r="H24" s="684">
        <v>0</v>
      </c>
      <c r="I24" s="740">
        <v>0</v>
      </c>
      <c r="J24" s="740">
        <v>0</v>
      </c>
      <c r="K24" s="740">
        <v>0</v>
      </c>
      <c r="L24" s="740"/>
      <c r="M24" s="682"/>
    </row>
    <row r="25" spans="1:13">
      <c r="A25" s="494">
        <v>19</v>
      </c>
      <c r="B25" s="509" t="s">
        <v>535</v>
      </c>
      <c r="C25" s="737">
        <v>0</v>
      </c>
      <c r="D25" s="684">
        <v>0</v>
      </c>
      <c r="E25" s="684">
        <v>0</v>
      </c>
      <c r="F25" s="740">
        <v>0</v>
      </c>
      <c r="G25" s="740"/>
      <c r="H25" s="684">
        <v>0</v>
      </c>
      <c r="I25" s="740">
        <v>0</v>
      </c>
      <c r="J25" s="740">
        <v>0</v>
      </c>
      <c r="K25" s="740">
        <v>0</v>
      </c>
      <c r="L25" s="740"/>
      <c r="M25" s="682"/>
    </row>
    <row r="26" spans="1:13">
      <c r="A26" s="494">
        <v>20</v>
      </c>
      <c r="B26" s="509" t="s">
        <v>536</v>
      </c>
      <c r="C26" s="737">
        <v>9965838.4499999993</v>
      </c>
      <c r="D26" s="684">
        <v>9965838.4499999993</v>
      </c>
      <c r="E26" s="684">
        <v>0</v>
      </c>
      <c r="F26" s="740">
        <v>0</v>
      </c>
      <c r="G26" s="740"/>
      <c r="H26" s="684">
        <v>9335.8375830424575</v>
      </c>
      <c r="I26" s="740">
        <v>9335.8375830424575</v>
      </c>
      <c r="J26" s="740">
        <v>0</v>
      </c>
      <c r="K26" s="740">
        <v>0</v>
      </c>
      <c r="L26" s="740"/>
      <c r="M26" s="682"/>
    </row>
    <row r="27" spans="1:13">
      <c r="A27" s="494">
        <v>21</v>
      </c>
      <c r="B27" s="509" t="s">
        <v>537</v>
      </c>
      <c r="C27" s="737">
        <v>0</v>
      </c>
      <c r="D27" s="684">
        <v>0</v>
      </c>
      <c r="E27" s="684">
        <v>0</v>
      </c>
      <c r="F27" s="740">
        <v>0</v>
      </c>
      <c r="G27" s="740"/>
      <c r="H27" s="684">
        <v>0</v>
      </c>
      <c r="I27" s="740">
        <v>0</v>
      </c>
      <c r="J27" s="740">
        <v>0</v>
      </c>
      <c r="K27" s="740">
        <v>0</v>
      </c>
      <c r="L27" s="740"/>
      <c r="M27" s="682"/>
    </row>
    <row r="28" spans="1:13">
      <c r="A28" s="494">
        <v>22</v>
      </c>
      <c r="B28" s="509" t="s">
        <v>538</v>
      </c>
      <c r="C28" s="737">
        <v>0</v>
      </c>
      <c r="D28" s="684">
        <v>0</v>
      </c>
      <c r="E28" s="684">
        <v>0</v>
      </c>
      <c r="F28" s="740">
        <v>0</v>
      </c>
      <c r="G28" s="740"/>
      <c r="H28" s="684">
        <v>0</v>
      </c>
      <c r="I28" s="740">
        <v>0</v>
      </c>
      <c r="J28" s="740">
        <v>0</v>
      </c>
      <c r="K28" s="740">
        <v>0</v>
      </c>
      <c r="L28" s="740"/>
      <c r="M28" s="682"/>
    </row>
    <row r="29" spans="1:13">
      <c r="A29" s="494">
        <v>23</v>
      </c>
      <c r="B29" s="509" t="s">
        <v>539</v>
      </c>
      <c r="C29" s="737">
        <v>15628716.168804001</v>
      </c>
      <c r="D29" s="684">
        <v>5088367.946304</v>
      </c>
      <c r="E29" s="684">
        <v>0</v>
      </c>
      <c r="F29" s="740">
        <v>10540348.2225</v>
      </c>
      <c r="G29" s="740"/>
      <c r="H29" s="684">
        <v>4000505.2594326832</v>
      </c>
      <c r="I29" s="740">
        <v>16050.097768068485</v>
      </c>
      <c r="J29" s="740">
        <v>0</v>
      </c>
      <c r="K29" s="740">
        <v>3984455.1616646149</v>
      </c>
      <c r="L29" s="740"/>
      <c r="M29" s="682"/>
    </row>
    <row r="30" spans="1:13">
      <c r="A30" s="494">
        <v>24</v>
      </c>
      <c r="B30" s="509" t="s">
        <v>540</v>
      </c>
      <c r="C30" s="737">
        <v>5949030.2207999993</v>
      </c>
      <c r="D30" s="684">
        <v>1590212.6343</v>
      </c>
      <c r="E30" s="684">
        <v>1173335.1165</v>
      </c>
      <c r="F30" s="740">
        <v>3185482.4699999997</v>
      </c>
      <c r="G30" s="740"/>
      <c r="H30" s="684">
        <v>414697.08899839828</v>
      </c>
      <c r="I30" s="740">
        <v>3302.3622875036976</v>
      </c>
      <c r="J30" s="740">
        <v>2708.1161281193899</v>
      </c>
      <c r="K30" s="740">
        <v>408686.6105827752</v>
      </c>
      <c r="L30" s="740"/>
      <c r="M30" s="682"/>
    </row>
    <row r="31" spans="1:13">
      <c r="A31" s="494">
        <v>25</v>
      </c>
      <c r="B31" s="509" t="s">
        <v>541</v>
      </c>
      <c r="C31" s="737">
        <v>0</v>
      </c>
      <c r="D31" s="684">
        <v>0</v>
      </c>
      <c r="E31" s="684">
        <v>0</v>
      </c>
      <c r="F31" s="740">
        <v>0</v>
      </c>
      <c r="G31" s="740"/>
      <c r="H31" s="684">
        <v>0</v>
      </c>
      <c r="I31" s="740">
        <v>0</v>
      </c>
      <c r="J31" s="740">
        <v>0</v>
      </c>
      <c r="K31" s="740">
        <v>0</v>
      </c>
      <c r="L31" s="740"/>
      <c r="M31" s="682"/>
    </row>
    <row r="32" spans="1:13">
      <c r="A32" s="494">
        <v>26</v>
      </c>
      <c r="B32" s="509" t="s">
        <v>597</v>
      </c>
      <c r="C32" s="737">
        <v>1552809.8536740001</v>
      </c>
      <c r="D32" s="684">
        <v>1364993.963674</v>
      </c>
      <c r="E32" s="684">
        <v>0</v>
      </c>
      <c r="F32" s="740">
        <v>187815.89</v>
      </c>
      <c r="G32" s="740"/>
      <c r="H32" s="684">
        <v>88125.957967331691</v>
      </c>
      <c r="I32" s="740">
        <v>8923.0960242830988</v>
      </c>
      <c r="J32" s="740">
        <v>0</v>
      </c>
      <c r="K32" s="740">
        <v>79202.8619430486</v>
      </c>
      <c r="L32" s="740"/>
      <c r="M32" s="682"/>
    </row>
    <row r="33" spans="1:12" ht="15">
      <c r="A33" s="494">
        <v>27</v>
      </c>
      <c r="B33" s="567" t="s">
        <v>66</v>
      </c>
      <c r="C33" s="741">
        <f>SUM(C7:C32)</f>
        <v>210411632.20992905</v>
      </c>
      <c r="D33" s="741">
        <f t="shared" ref="D33:L33" si="0">SUM(D7:D32)</f>
        <v>87134972.530393362</v>
      </c>
      <c r="E33" s="741">
        <f t="shared" si="0"/>
        <v>69493726.866079673</v>
      </c>
      <c r="F33" s="741">
        <f t="shared" si="0"/>
        <v>53782932.813455999</v>
      </c>
      <c r="G33" s="741">
        <f t="shared" si="0"/>
        <v>0</v>
      </c>
      <c r="H33" s="741">
        <f t="shared" si="0"/>
        <v>13885374.588731952</v>
      </c>
      <c r="I33" s="741">
        <f t="shared" si="0"/>
        <v>341960.76033055672</v>
      </c>
      <c r="J33" s="741">
        <f t="shared" si="0"/>
        <v>182089.86629563451</v>
      </c>
      <c r="K33" s="741">
        <f t="shared" si="0"/>
        <v>13361323.96210576</v>
      </c>
      <c r="L33" s="741">
        <f t="shared" si="0"/>
        <v>0</v>
      </c>
    </row>
    <row r="34" spans="1:12">
      <c r="A34" s="522"/>
      <c r="B34" s="522"/>
      <c r="C34" s="746">
        <f>C33-'23. LTV'!C8</f>
        <v>0</v>
      </c>
      <c r="D34" s="522"/>
      <c r="E34" s="522"/>
      <c r="H34" s="522"/>
    </row>
    <row r="35" spans="1:12">
      <c r="A35" s="522"/>
      <c r="B35" s="566"/>
      <c r="C35" s="566"/>
      <c r="D35" s="522"/>
      <c r="E35" s="522"/>
      <c r="H35" s="522"/>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
  <sheetViews>
    <sheetView showGridLines="0" zoomScale="55" zoomScaleNormal="55" workbookViewId="0">
      <selection activeCell="C6" sqref="C6:K11"/>
    </sheetView>
  </sheetViews>
  <sheetFormatPr defaultColWidth="8.7109375" defaultRowHeight="15"/>
  <cols>
    <col min="1" max="1" width="11.7109375" style="401" bestFit="1" customWidth="1"/>
    <col min="2" max="2" width="48.28515625" style="401" customWidth="1"/>
    <col min="3" max="11" width="28.28515625" style="401" customWidth="1"/>
    <col min="12" max="12" width="13" style="401" bestFit="1" customWidth="1"/>
    <col min="13" max="16384" width="8.7109375" style="401"/>
  </cols>
  <sheetData>
    <row r="1" spans="1:12" s="391" customFormat="1" ht="13.5">
      <c r="A1" s="390" t="s">
        <v>108</v>
      </c>
      <c r="B1" s="316" t="str">
        <f>Info!C2</f>
        <v>JSC "VTB Bank (Georgia)"</v>
      </c>
      <c r="C1" s="505"/>
      <c r="D1" s="505"/>
      <c r="E1" s="505"/>
      <c r="F1" s="505"/>
      <c r="G1" s="505"/>
      <c r="H1" s="505"/>
      <c r="I1" s="505"/>
      <c r="J1" s="505"/>
      <c r="K1" s="505"/>
    </row>
    <row r="2" spans="1:12" s="391" customFormat="1" ht="12.75">
      <c r="A2" s="392" t="s">
        <v>109</v>
      </c>
      <c r="B2" s="394">
        <f>Info!D2</f>
        <v>45291</v>
      </c>
      <c r="C2" s="505"/>
      <c r="D2" s="505"/>
      <c r="E2" s="505"/>
      <c r="F2" s="505"/>
      <c r="G2" s="505"/>
      <c r="H2" s="505"/>
      <c r="I2" s="505"/>
      <c r="J2" s="505"/>
      <c r="K2" s="505"/>
    </row>
    <row r="3" spans="1:12" s="391" customFormat="1" ht="12.75">
      <c r="A3" s="393" t="s">
        <v>598</v>
      </c>
      <c r="B3" s="505"/>
      <c r="C3" s="505"/>
      <c r="D3" s="505"/>
      <c r="E3" s="505"/>
      <c r="F3" s="505"/>
      <c r="G3" s="505"/>
      <c r="H3" s="505"/>
      <c r="I3" s="505"/>
      <c r="J3" s="505"/>
      <c r="K3" s="505"/>
    </row>
    <row r="4" spans="1:12">
      <c r="A4" s="573"/>
      <c r="B4" s="573"/>
      <c r="C4" s="572" t="s">
        <v>502</v>
      </c>
      <c r="D4" s="572" t="s">
        <v>503</v>
      </c>
      <c r="E4" s="572" t="s">
        <v>504</v>
      </c>
      <c r="F4" s="572" t="s">
        <v>505</v>
      </c>
      <c r="G4" s="572" t="s">
        <v>506</v>
      </c>
      <c r="H4" s="572" t="s">
        <v>507</v>
      </c>
      <c r="I4" s="572" t="s">
        <v>508</v>
      </c>
      <c r="J4" s="572" t="s">
        <v>509</v>
      </c>
      <c r="K4" s="572" t="s">
        <v>510</v>
      </c>
    </row>
    <row r="5" spans="1:12" ht="103.9" customHeight="1">
      <c r="A5" s="900" t="s">
        <v>906</v>
      </c>
      <c r="B5" s="901"/>
      <c r="C5" s="571" t="s">
        <v>599</v>
      </c>
      <c r="D5" s="571" t="s">
        <v>592</v>
      </c>
      <c r="E5" s="571" t="s">
        <v>593</v>
      </c>
      <c r="F5" s="571" t="s">
        <v>905</v>
      </c>
      <c r="G5" s="571" t="s">
        <v>600</v>
      </c>
      <c r="H5" s="571" t="s">
        <v>601</v>
      </c>
      <c r="I5" s="571" t="s">
        <v>602</v>
      </c>
      <c r="J5" s="571" t="s">
        <v>603</v>
      </c>
      <c r="K5" s="571" t="s">
        <v>604</v>
      </c>
    </row>
    <row r="6" spans="1:12">
      <c r="A6" s="494">
        <v>1</v>
      </c>
      <c r="B6" s="494" t="s">
        <v>605</v>
      </c>
      <c r="C6" s="720">
        <v>777408.99389999988</v>
      </c>
      <c r="D6" s="720">
        <v>44648.72</v>
      </c>
      <c r="E6" s="720">
        <v>0</v>
      </c>
      <c r="F6" s="720">
        <v>0</v>
      </c>
      <c r="G6" s="720">
        <v>163400647.65720281</v>
      </c>
      <c r="H6" s="720">
        <v>9326565.4399119988</v>
      </c>
      <c r="I6" s="720">
        <v>8378277.2160639977</v>
      </c>
      <c r="J6" s="720">
        <v>11110589.171730373</v>
      </c>
      <c r="K6" s="720">
        <v>17373495.011120003</v>
      </c>
    </row>
    <row r="7" spans="1:12">
      <c r="A7" s="494">
        <v>2</v>
      </c>
      <c r="B7" s="495" t="s">
        <v>606</v>
      </c>
      <c r="C7" s="720"/>
      <c r="D7" s="720"/>
      <c r="E7" s="720"/>
      <c r="F7" s="720"/>
      <c r="G7" s="720"/>
      <c r="H7" s="720"/>
      <c r="I7" s="720"/>
      <c r="J7" s="720"/>
      <c r="K7" s="720"/>
    </row>
    <row r="8" spans="1:12">
      <c r="A8" s="494">
        <v>3</v>
      </c>
      <c r="B8" s="495" t="s">
        <v>570</v>
      </c>
      <c r="C8" s="720">
        <v>2464844.2324000001</v>
      </c>
      <c r="D8" s="720">
        <v>0</v>
      </c>
      <c r="E8" s="720">
        <v>0</v>
      </c>
      <c r="F8" s="720">
        <v>0</v>
      </c>
      <c r="G8" s="720">
        <v>158750.70259999999</v>
      </c>
      <c r="H8" s="720">
        <v>0</v>
      </c>
      <c r="I8" s="720">
        <v>18445</v>
      </c>
      <c r="J8" s="720">
        <v>100000</v>
      </c>
      <c r="K8" s="720">
        <v>131973.00649999999</v>
      </c>
    </row>
    <row r="9" spans="1:12">
      <c r="A9" s="494">
        <v>4</v>
      </c>
      <c r="B9" s="524" t="s">
        <v>904</v>
      </c>
      <c r="C9" s="742">
        <v>200000</v>
      </c>
      <c r="D9" s="742">
        <v>0</v>
      </c>
      <c r="E9" s="742">
        <v>0</v>
      </c>
      <c r="F9" s="742">
        <v>0</v>
      </c>
      <c r="G9" s="742">
        <v>49992603.828045987</v>
      </c>
      <c r="H9" s="742">
        <v>0</v>
      </c>
      <c r="I9" s="742">
        <v>56382.979999999981</v>
      </c>
      <c r="J9" s="742">
        <v>903085.94539999962</v>
      </c>
      <c r="K9" s="742">
        <v>2630860.0600099997</v>
      </c>
      <c r="L9" s="745">
        <f>SUM(C9:K9)-'18. Assets by Exposure classes'!C22</f>
        <v>-0.32154401391744614</v>
      </c>
    </row>
    <row r="10" spans="1:12">
      <c r="A10" s="494">
        <v>5</v>
      </c>
      <c r="B10" s="513" t="s">
        <v>903</v>
      </c>
      <c r="C10" s="570"/>
      <c r="D10" s="570"/>
      <c r="E10" s="570"/>
      <c r="F10" s="570"/>
      <c r="G10" s="570"/>
      <c r="H10" s="570"/>
      <c r="I10" s="570"/>
      <c r="J10" s="570"/>
      <c r="K10" s="570"/>
    </row>
    <row r="11" spans="1:12">
      <c r="A11" s="494">
        <v>6</v>
      </c>
      <c r="B11" s="513" t="s">
        <v>902</v>
      </c>
      <c r="C11" s="570"/>
      <c r="D11" s="570"/>
      <c r="E11" s="570"/>
      <c r="F11" s="570"/>
      <c r="G11" s="570"/>
      <c r="H11" s="570"/>
      <c r="I11" s="570"/>
      <c r="J11" s="570"/>
      <c r="K11" s="570"/>
    </row>
    <row r="13" spans="1:12" ht="15.75">
      <c r="B13" s="569"/>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55" zoomScaleNormal="55" workbookViewId="0">
      <selection activeCell="C7" sqref="C7:V20"/>
    </sheetView>
  </sheetViews>
  <sheetFormatPr defaultColWidth="8.7109375" defaultRowHeight="15"/>
  <cols>
    <col min="1" max="1" width="10" style="574" bestFit="1" customWidth="1"/>
    <col min="2" max="2" width="71.7109375" style="574" customWidth="1"/>
    <col min="3" max="3" width="11.42578125" style="574" bestFit="1" customWidth="1"/>
    <col min="4" max="5" width="15.28515625" style="574" bestFit="1" customWidth="1"/>
    <col min="6" max="6" width="20" style="574" bestFit="1" customWidth="1"/>
    <col min="7" max="7" width="37.7109375" style="574" bestFit="1" customWidth="1"/>
    <col min="8" max="8" width="11.28515625" style="574" bestFit="1" customWidth="1"/>
    <col min="9" max="10" width="15.28515625" style="574" bestFit="1" customWidth="1"/>
    <col min="11" max="11" width="20" style="574" bestFit="1" customWidth="1"/>
    <col min="12" max="12" width="37.7109375" style="574" bestFit="1" customWidth="1"/>
    <col min="13" max="13" width="10.7109375" style="574" bestFit="1" customWidth="1"/>
    <col min="14" max="15" width="15.28515625" style="574" bestFit="1" customWidth="1"/>
    <col min="16" max="16" width="20" style="574" bestFit="1" customWidth="1"/>
    <col min="17" max="17" width="37.7109375" style="574" bestFit="1" customWidth="1"/>
    <col min="18" max="18" width="18" style="574" bestFit="1" customWidth="1"/>
    <col min="19" max="19" width="48" style="574" bestFit="1" customWidth="1"/>
    <col min="20" max="20" width="45.7109375" style="574" bestFit="1" customWidth="1"/>
    <col min="21" max="21" width="48" style="574" bestFit="1" customWidth="1"/>
    <col min="22" max="22" width="44.28515625" style="574" bestFit="1" customWidth="1"/>
    <col min="23" max="16384" width="8.7109375" style="574"/>
  </cols>
  <sheetData>
    <row r="1" spans="1:22">
      <c r="A1" s="390" t="s">
        <v>108</v>
      </c>
      <c r="B1" s="316" t="str">
        <f>Info!C2</f>
        <v>JSC "VTB Bank (Georgia)"</v>
      </c>
    </row>
    <row r="2" spans="1:22">
      <c r="A2" s="392" t="s">
        <v>109</v>
      </c>
      <c r="B2" s="394">
        <f>Info!D2</f>
        <v>45291</v>
      </c>
    </row>
    <row r="3" spans="1:22">
      <c r="A3" s="393" t="s">
        <v>689</v>
      </c>
      <c r="B3" s="505"/>
    </row>
    <row r="4" spans="1:22">
      <c r="A4" s="393"/>
      <c r="B4" s="505"/>
    </row>
    <row r="5" spans="1:22" ht="24" customHeight="1">
      <c r="A5" s="902" t="s">
        <v>716</v>
      </c>
      <c r="B5" s="902"/>
      <c r="C5" s="904" t="s">
        <v>908</v>
      </c>
      <c r="D5" s="904"/>
      <c r="E5" s="904"/>
      <c r="F5" s="904"/>
      <c r="G5" s="904"/>
      <c r="H5" s="904" t="s">
        <v>596</v>
      </c>
      <c r="I5" s="904"/>
      <c r="J5" s="904"/>
      <c r="K5" s="904"/>
      <c r="L5" s="904"/>
      <c r="M5" s="904" t="s">
        <v>907</v>
      </c>
      <c r="N5" s="904"/>
      <c r="O5" s="904"/>
      <c r="P5" s="904"/>
      <c r="Q5" s="904"/>
      <c r="R5" s="903" t="s">
        <v>715</v>
      </c>
      <c r="S5" s="903" t="s">
        <v>719</v>
      </c>
      <c r="T5" s="903" t="s">
        <v>718</v>
      </c>
      <c r="U5" s="903" t="s">
        <v>956</v>
      </c>
      <c r="V5" s="903" t="s">
        <v>957</v>
      </c>
    </row>
    <row r="6" spans="1:22" ht="36" customHeight="1">
      <c r="A6" s="902"/>
      <c r="B6" s="902"/>
      <c r="C6" s="584"/>
      <c r="D6" s="503" t="s">
        <v>892</v>
      </c>
      <c r="E6" s="503" t="s">
        <v>891</v>
      </c>
      <c r="F6" s="503" t="s">
        <v>890</v>
      </c>
      <c r="G6" s="503" t="s">
        <v>889</v>
      </c>
      <c r="H6" s="584"/>
      <c r="I6" s="503" t="s">
        <v>892</v>
      </c>
      <c r="J6" s="503" t="s">
        <v>891</v>
      </c>
      <c r="K6" s="503" t="s">
        <v>890</v>
      </c>
      <c r="L6" s="503" t="s">
        <v>889</v>
      </c>
      <c r="M6" s="584"/>
      <c r="N6" s="503" t="s">
        <v>892</v>
      </c>
      <c r="O6" s="503" t="s">
        <v>891</v>
      </c>
      <c r="P6" s="503" t="s">
        <v>890</v>
      </c>
      <c r="Q6" s="503" t="s">
        <v>889</v>
      </c>
      <c r="R6" s="903"/>
      <c r="S6" s="903"/>
      <c r="T6" s="903"/>
      <c r="U6" s="903"/>
      <c r="V6" s="903"/>
    </row>
    <row r="7" spans="1:22">
      <c r="A7" s="582">
        <v>1</v>
      </c>
      <c r="B7" s="583" t="s">
        <v>690</v>
      </c>
      <c r="C7" s="743">
        <v>152310.76596400002</v>
      </c>
      <c r="D7" s="743">
        <v>152310.76596400002</v>
      </c>
      <c r="E7" s="743">
        <v>0</v>
      </c>
      <c r="F7" s="743">
        <v>0</v>
      </c>
      <c r="G7" s="743"/>
      <c r="H7" s="743">
        <v>155298.86896399999</v>
      </c>
      <c r="I7" s="743">
        <v>155298.86896399999</v>
      </c>
      <c r="J7" s="743">
        <v>0</v>
      </c>
      <c r="K7" s="743">
        <v>0</v>
      </c>
      <c r="L7" s="743"/>
      <c r="M7" s="743">
        <v>5021.427875908299</v>
      </c>
      <c r="N7" s="743">
        <v>5021.427875908299</v>
      </c>
      <c r="O7" s="743">
        <v>0</v>
      </c>
      <c r="P7" s="743">
        <v>0</v>
      </c>
      <c r="Q7" s="743"/>
      <c r="R7" s="743">
        <v>3</v>
      </c>
      <c r="S7" s="743">
        <v>0</v>
      </c>
      <c r="T7" s="743">
        <v>0</v>
      </c>
      <c r="U7" s="743">
        <v>6.4462943494885086E-2</v>
      </c>
      <c r="V7" s="743">
        <v>49.858288115191613</v>
      </c>
    </row>
    <row r="8" spans="1:22">
      <c r="A8" s="582">
        <v>2</v>
      </c>
      <c r="B8" s="581" t="s">
        <v>691</v>
      </c>
      <c r="C8" s="743">
        <v>578901.06028999994</v>
      </c>
      <c r="D8" s="743">
        <v>280665.26</v>
      </c>
      <c r="E8" s="743">
        <v>17880.739999999998</v>
      </c>
      <c r="F8" s="743">
        <v>280355.06028999999</v>
      </c>
      <c r="G8" s="743"/>
      <c r="H8" s="743">
        <v>663531.16028999991</v>
      </c>
      <c r="I8" s="743">
        <v>287350.73999999993</v>
      </c>
      <c r="J8" s="743">
        <v>18947.59</v>
      </c>
      <c r="K8" s="743">
        <v>357232.83028999995</v>
      </c>
      <c r="L8" s="743"/>
      <c r="M8" s="743">
        <v>330461.60214510112</v>
      </c>
      <c r="N8" s="743">
        <v>5193.2357834155</v>
      </c>
      <c r="O8" s="743">
        <v>1734.3177450906001</v>
      </c>
      <c r="P8" s="743">
        <v>323534.04861659504</v>
      </c>
      <c r="Q8" s="743"/>
      <c r="R8" s="743">
        <v>121</v>
      </c>
      <c r="S8" s="743">
        <v>0.15</v>
      </c>
      <c r="T8" s="743">
        <v>0.16070399999999999</v>
      </c>
      <c r="U8" s="743">
        <v>0.17409967715296823</v>
      </c>
      <c r="V8" s="743">
        <v>14.643076092413615</v>
      </c>
    </row>
    <row r="9" spans="1:22">
      <c r="A9" s="582">
        <v>3</v>
      </c>
      <c r="B9" s="581" t="s">
        <v>692</v>
      </c>
      <c r="C9" s="743">
        <v>395.29</v>
      </c>
      <c r="D9" s="743">
        <v>95.29</v>
      </c>
      <c r="E9" s="743">
        <v>0</v>
      </c>
      <c r="F9" s="743">
        <v>300</v>
      </c>
      <c r="G9" s="743"/>
      <c r="H9" s="743">
        <v>395.29</v>
      </c>
      <c r="I9" s="743">
        <v>95.29</v>
      </c>
      <c r="J9" s="743">
        <v>0</v>
      </c>
      <c r="K9" s="743">
        <v>300</v>
      </c>
      <c r="L9" s="743"/>
      <c r="M9" s="743">
        <v>258.06290934219999</v>
      </c>
      <c r="N9" s="743">
        <v>0.13168719230000001</v>
      </c>
      <c r="O9" s="743">
        <v>0</v>
      </c>
      <c r="P9" s="743">
        <v>257.93122214990001</v>
      </c>
      <c r="Q9" s="743"/>
      <c r="R9" s="743">
        <v>2</v>
      </c>
      <c r="S9" s="743" t="s">
        <v>987</v>
      </c>
      <c r="T9" s="743" t="s">
        <v>987</v>
      </c>
      <c r="U9" s="743">
        <v>0</v>
      </c>
      <c r="V9" s="743">
        <v>0.14264113785983804</v>
      </c>
    </row>
    <row r="10" spans="1:22">
      <c r="A10" s="582">
        <v>4</v>
      </c>
      <c r="B10" s="581" t="s">
        <v>693</v>
      </c>
      <c r="C10" s="743">
        <v>0</v>
      </c>
      <c r="D10" s="743">
        <v>0</v>
      </c>
      <c r="E10" s="743">
        <v>0</v>
      </c>
      <c r="F10" s="743">
        <v>0</v>
      </c>
      <c r="G10" s="743"/>
      <c r="H10" s="743">
        <v>0</v>
      </c>
      <c r="I10" s="743">
        <v>0</v>
      </c>
      <c r="J10" s="743">
        <v>0</v>
      </c>
      <c r="K10" s="743">
        <v>0</v>
      </c>
      <c r="L10" s="743"/>
      <c r="M10" s="743">
        <v>0</v>
      </c>
      <c r="N10" s="743">
        <v>0</v>
      </c>
      <c r="O10" s="743">
        <v>0</v>
      </c>
      <c r="P10" s="743">
        <v>0</v>
      </c>
      <c r="Q10" s="743"/>
      <c r="R10" s="743">
        <v>0</v>
      </c>
      <c r="S10" s="743" t="s">
        <v>987</v>
      </c>
      <c r="T10" s="743" t="s">
        <v>987</v>
      </c>
      <c r="U10" s="743">
        <v>0</v>
      </c>
      <c r="V10" s="743">
        <v>0</v>
      </c>
    </row>
    <row r="11" spans="1:22">
      <c r="A11" s="582">
        <v>5</v>
      </c>
      <c r="B11" s="581" t="s">
        <v>694</v>
      </c>
      <c r="C11" s="743">
        <v>0</v>
      </c>
      <c r="D11" s="743">
        <v>0</v>
      </c>
      <c r="E11" s="743">
        <v>0</v>
      </c>
      <c r="F11" s="743">
        <v>0</v>
      </c>
      <c r="G11" s="743"/>
      <c r="H11" s="743">
        <v>0</v>
      </c>
      <c r="I11" s="743">
        <v>0</v>
      </c>
      <c r="J11" s="743">
        <v>0</v>
      </c>
      <c r="K11" s="743">
        <v>0</v>
      </c>
      <c r="L11" s="743"/>
      <c r="M11" s="743">
        <v>0</v>
      </c>
      <c r="N11" s="743">
        <v>0</v>
      </c>
      <c r="O11" s="743">
        <v>0</v>
      </c>
      <c r="P11" s="743">
        <v>0</v>
      </c>
      <c r="Q11" s="743"/>
      <c r="R11" s="743">
        <v>0</v>
      </c>
      <c r="S11" s="743">
        <v>0</v>
      </c>
      <c r="T11" s="743">
        <v>0</v>
      </c>
      <c r="U11" s="743">
        <v>0</v>
      </c>
      <c r="V11" s="743">
        <v>0</v>
      </c>
    </row>
    <row r="12" spans="1:22">
      <c r="A12" s="582">
        <v>6</v>
      </c>
      <c r="B12" s="581" t="s">
        <v>695</v>
      </c>
      <c r="C12" s="743">
        <v>0</v>
      </c>
      <c r="D12" s="743">
        <v>0</v>
      </c>
      <c r="E12" s="743">
        <v>0</v>
      </c>
      <c r="F12" s="743">
        <v>0</v>
      </c>
      <c r="G12" s="743"/>
      <c r="H12" s="743">
        <v>0</v>
      </c>
      <c r="I12" s="743">
        <v>0</v>
      </c>
      <c r="J12" s="743">
        <v>0</v>
      </c>
      <c r="K12" s="743">
        <v>0</v>
      </c>
      <c r="L12" s="743"/>
      <c r="M12" s="743">
        <v>0</v>
      </c>
      <c r="N12" s="743">
        <v>0</v>
      </c>
      <c r="O12" s="743">
        <v>0</v>
      </c>
      <c r="P12" s="743">
        <v>0</v>
      </c>
      <c r="Q12" s="743"/>
      <c r="R12" s="743">
        <v>0</v>
      </c>
      <c r="S12" s="743">
        <v>0</v>
      </c>
      <c r="T12" s="743">
        <v>0</v>
      </c>
      <c r="U12" s="743">
        <v>0</v>
      </c>
      <c r="V12" s="743">
        <v>0</v>
      </c>
    </row>
    <row r="13" spans="1:22">
      <c r="A13" s="582">
        <v>7</v>
      </c>
      <c r="B13" s="581" t="s">
        <v>696</v>
      </c>
      <c r="C13" s="743">
        <v>8698988.0652349982</v>
      </c>
      <c r="D13" s="743">
        <v>8233168.2044049967</v>
      </c>
      <c r="E13" s="743">
        <v>313753.30319999997</v>
      </c>
      <c r="F13" s="743">
        <v>152066.55763</v>
      </c>
      <c r="G13" s="743"/>
      <c r="H13" s="743">
        <v>8841330.4791349955</v>
      </c>
      <c r="I13" s="743">
        <v>8331874.939504995</v>
      </c>
      <c r="J13" s="743">
        <v>326047.44200000004</v>
      </c>
      <c r="K13" s="743">
        <v>183408.09762999997</v>
      </c>
      <c r="L13" s="743"/>
      <c r="M13" s="743">
        <v>79666.619343366794</v>
      </c>
      <c r="N13" s="743">
        <v>16704.598183468795</v>
      </c>
      <c r="O13" s="743">
        <v>4378.6208143265994</v>
      </c>
      <c r="P13" s="743">
        <v>58583.400345571397</v>
      </c>
      <c r="Q13" s="743"/>
      <c r="R13" s="743">
        <v>137</v>
      </c>
      <c r="S13" s="743">
        <v>0</v>
      </c>
      <c r="T13" s="743">
        <v>0</v>
      </c>
      <c r="U13" s="743">
        <v>7.5113229768794809E-2</v>
      </c>
      <c r="V13" s="743">
        <v>121.20498855469545</v>
      </c>
    </row>
    <row r="14" spans="1:22">
      <c r="A14" s="576">
        <v>7.1</v>
      </c>
      <c r="B14" s="575" t="s">
        <v>697</v>
      </c>
      <c r="C14" s="743">
        <v>8539324.4840009976</v>
      </c>
      <c r="D14" s="743">
        <v>8073504.623170997</v>
      </c>
      <c r="E14" s="743">
        <v>313753.30319999997</v>
      </c>
      <c r="F14" s="743">
        <v>152066.55763</v>
      </c>
      <c r="G14" s="743"/>
      <c r="H14" s="743">
        <v>8679648.4212009944</v>
      </c>
      <c r="I14" s="743">
        <v>8170192.8815709949</v>
      </c>
      <c r="J14" s="743">
        <v>326047.44200000004</v>
      </c>
      <c r="K14" s="743">
        <v>183408.09762999997</v>
      </c>
      <c r="L14" s="743"/>
      <c r="M14" s="743">
        <v>79411.717011119297</v>
      </c>
      <c r="N14" s="743">
        <v>16449.695851221295</v>
      </c>
      <c r="O14" s="743">
        <v>4378.6208143265994</v>
      </c>
      <c r="P14" s="743">
        <v>58583.400345571397</v>
      </c>
      <c r="Q14" s="743"/>
      <c r="R14" s="743">
        <v>135</v>
      </c>
      <c r="S14" s="743">
        <v>0</v>
      </c>
      <c r="T14" s="743">
        <v>0</v>
      </c>
      <c r="U14" s="743">
        <v>7.4776075285151983E-2</v>
      </c>
      <c r="V14" s="743">
        <v>120.26729216157383</v>
      </c>
    </row>
    <row r="15" spans="1:22" ht="25.5">
      <c r="A15" s="576">
        <v>7.2</v>
      </c>
      <c r="B15" s="575" t="s">
        <v>698</v>
      </c>
      <c r="C15" s="743">
        <v>159663.58123399998</v>
      </c>
      <c r="D15" s="743">
        <v>159663.58123399998</v>
      </c>
      <c r="E15" s="743">
        <v>0</v>
      </c>
      <c r="F15" s="743">
        <v>0</v>
      </c>
      <c r="G15" s="743"/>
      <c r="H15" s="743">
        <v>161682.05793399998</v>
      </c>
      <c r="I15" s="743">
        <v>161682.05793399998</v>
      </c>
      <c r="J15" s="743">
        <v>0</v>
      </c>
      <c r="K15" s="743">
        <v>0</v>
      </c>
      <c r="L15" s="743"/>
      <c r="M15" s="743">
        <v>254.9023322475</v>
      </c>
      <c r="N15" s="743">
        <v>254.9023322475</v>
      </c>
      <c r="O15" s="743">
        <v>0</v>
      </c>
      <c r="P15" s="743">
        <v>0</v>
      </c>
      <c r="Q15" s="743"/>
      <c r="R15" s="743">
        <v>2</v>
      </c>
      <c r="S15" s="743" t="s">
        <v>987</v>
      </c>
      <c r="T15" s="743" t="s">
        <v>987</v>
      </c>
      <c r="U15" s="743">
        <v>9.3145341505299142E-2</v>
      </c>
      <c r="V15" s="743">
        <v>171.35602303893123</v>
      </c>
    </row>
    <row r="16" spans="1:22">
      <c r="A16" s="576">
        <v>7.3</v>
      </c>
      <c r="B16" s="575" t="s">
        <v>699</v>
      </c>
      <c r="C16" s="743"/>
      <c r="D16" s="743"/>
      <c r="E16" s="743"/>
      <c r="F16" s="743"/>
      <c r="G16" s="743"/>
      <c r="H16" s="743"/>
      <c r="I16" s="743"/>
      <c r="J16" s="743"/>
      <c r="K16" s="743"/>
      <c r="L16" s="743"/>
      <c r="M16" s="743"/>
      <c r="N16" s="743"/>
      <c r="O16" s="743"/>
      <c r="P16" s="743"/>
      <c r="Q16" s="743"/>
      <c r="R16" s="743"/>
      <c r="S16" s="743" t="s">
        <v>987</v>
      </c>
      <c r="T16" s="743" t="s">
        <v>987</v>
      </c>
      <c r="U16" s="743"/>
      <c r="V16" s="743"/>
    </row>
    <row r="17" spans="1:22">
      <c r="A17" s="582">
        <v>8</v>
      </c>
      <c r="B17" s="581" t="s">
        <v>700</v>
      </c>
      <c r="C17" s="743">
        <v>0</v>
      </c>
      <c r="D17" s="743">
        <v>0</v>
      </c>
      <c r="E17" s="743">
        <v>0</v>
      </c>
      <c r="F17" s="743">
        <v>0</v>
      </c>
      <c r="G17" s="743"/>
      <c r="H17" s="743">
        <v>0</v>
      </c>
      <c r="I17" s="743">
        <v>0</v>
      </c>
      <c r="J17" s="743">
        <v>0</v>
      </c>
      <c r="K17" s="743">
        <v>0</v>
      </c>
      <c r="L17" s="743"/>
      <c r="M17" s="743">
        <v>0</v>
      </c>
      <c r="N17" s="743">
        <v>0</v>
      </c>
      <c r="O17" s="743">
        <v>0</v>
      </c>
      <c r="P17" s="743">
        <v>0</v>
      </c>
      <c r="Q17" s="743"/>
      <c r="R17" s="743">
        <v>0</v>
      </c>
      <c r="S17" s="743">
        <v>0</v>
      </c>
      <c r="T17" s="743">
        <v>0</v>
      </c>
      <c r="U17" s="743">
        <v>0</v>
      </c>
      <c r="V17" s="743">
        <v>0</v>
      </c>
    </row>
    <row r="18" spans="1:22">
      <c r="A18" s="580">
        <v>9</v>
      </c>
      <c r="B18" s="579" t="s">
        <v>701</v>
      </c>
      <c r="C18" s="744">
        <v>0</v>
      </c>
      <c r="D18" s="744">
        <v>0</v>
      </c>
      <c r="E18" s="744">
        <v>0</v>
      </c>
      <c r="F18" s="744">
        <v>0</v>
      </c>
      <c r="G18" s="744"/>
      <c r="H18" s="744">
        <v>0</v>
      </c>
      <c r="I18" s="744">
        <v>0</v>
      </c>
      <c r="J18" s="744">
        <v>0</v>
      </c>
      <c r="K18" s="744">
        <v>0</v>
      </c>
      <c r="L18" s="744"/>
      <c r="M18" s="744">
        <v>0</v>
      </c>
      <c r="N18" s="744">
        <v>0</v>
      </c>
      <c r="O18" s="744">
        <v>0</v>
      </c>
      <c r="P18" s="744">
        <v>0</v>
      </c>
      <c r="Q18" s="744"/>
      <c r="R18" s="744">
        <v>0</v>
      </c>
      <c r="S18" s="744">
        <v>0</v>
      </c>
      <c r="T18" s="744">
        <v>0</v>
      </c>
      <c r="U18" s="744">
        <v>0</v>
      </c>
      <c r="V18" s="744">
        <v>0</v>
      </c>
    </row>
    <row r="19" spans="1:22">
      <c r="A19" s="578">
        <v>10</v>
      </c>
      <c r="B19" s="577" t="s">
        <v>717</v>
      </c>
      <c r="C19" s="743">
        <v>9430595.1814889982</v>
      </c>
      <c r="D19" s="743">
        <v>8666239.520368997</v>
      </c>
      <c r="E19" s="743">
        <v>331634.04319999996</v>
      </c>
      <c r="F19" s="743">
        <v>432721.61791999999</v>
      </c>
      <c r="G19" s="743">
        <v>0</v>
      </c>
      <c r="H19" s="743">
        <v>9660555.7983889952</v>
      </c>
      <c r="I19" s="743">
        <v>8774619.8384689949</v>
      </c>
      <c r="J19" s="743">
        <v>344995.03200000006</v>
      </c>
      <c r="K19" s="743">
        <v>540940.92791999993</v>
      </c>
      <c r="L19" s="743">
        <v>0</v>
      </c>
      <c r="M19" s="743">
        <v>415407.71227371844</v>
      </c>
      <c r="N19" s="743">
        <v>26919.393529984896</v>
      </c>
      <c r="O19" s="743">
        <v>6112.9385594171999</v>
      </c>
      <c r="P19" s="743">
        <v>382375.38018431637</v>
      </c>
      <c r="Q19" s="743">
        <v>0</v>
      </c>
      <c r="R19" s="743">
        <v>263</v>
      </c>
      <c r="S19" s="743">
        <v>0.15</v>
      </c>
      <c r="T19" s="743">
        <v>0.16070399999999999</v>
      </c>
      <c r="U19" s="743">
        <v>8.1014396503802655E-2</v>
      </c>
      <c r="V19" s="743">
        <v>113.50626667744724</v>
      </c>
    </row>
    <row r="20" spans="1:22" ht="25.5">
      <c r="A20" s="576">
        <v>10.1</v>
      </c>
      <c r="B20" s="575" t="s">
        <v>720</v>
      </c>
      <c r="C20" s="570"/>
      <c r="D20" s="570"/>
      <c r="E20" s="570"/>
      <c r="F20" s="570"/>
      <c r="G20" s="570"/>
      <c r="H20" s="570"/>
      <c r="I20" s="570"/>
      <c r="J20" s="570"/>
      <c r="K20" s="570"/>
      <c r="L20" s="570"/>
      <c r="M20" s="570"/>
      <c r="N20" s="570"/>
      <c r="O20" s="570"/>
      <c r="P20" s="570"/>
      <c r="Q20" s="570"/>
      <c r="R20" s="570"/>
      <c r="S20" s="570"/>
      <c r="T20" s="570"/>
      <c r="U20" s="570"/>
      <c r="V20" s="57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2"/>
  <sheetViews>
    <sheetView topLeftCell="A32" zoomScale="70" zoomScaleNormal="70" workbookViewId="0">
      <selection activeCell="K67" sqref="K67"/>
    </sheetView>
  </sheetViews>
  <sheetFormatPr defaultRowHeight="15"/>
  <cols>
    <col min="1" max="1" width="8.7109375" style="467"/>
    <col min="2" max="2" width="69.28515625" style="442" customWidth="1"/>
    <col min="3" max="3" width="13.7109375" customWidth="1"/>
    <col min="4" max="4" width="14.42578125" customWidth="1"/>
    <col min="5" max="5" width="14.85546875" bestFit="1" customWidth="1"/>
    <col min="6" max="7" width="13.28515625" customWidth="1"/>
    <col min="8" max="8" width="14.85546875" bestFit="1" customWidth="1"/>
  </cols>
  <sheetData>
    <row r="1" spans="1:8" ht="15.75">
      <c r="A1" s="17" t="s">
        <v>108</v>
      </c>
      <c r="B1" s="316" t="str">
        <f>Info!C2</f>
        <v>JSC "VTB Bank (Georgia)"</v>
      </c>
      <c r="C1" s="16"/>
      <c r="D1" s="233"/>
      <c r="E1" s="233"/>
      <c r="F1" s="233"/>
      <c r="G1" s="233"/>
    </row>
    <row r="2" spans="1:8" ht="15.75">
      <c r="A2" s="17" t="s">
        <v>109</v>
      </c>
      <c r="B2" s="347">
        <f>Info!D2</f>
        <v>45291</v>
      </c>
      <c r="C2" s="29"/>
      <c r="D2" s="18"/>
      <c r="E2" s="18"/>
      <c r="F2" s="18"/>
      <c r="G2" s="18"/>
      <c r="H2" s="1"/>
    </row>
    <row r="3" spans="1:8" ht="15.75">
      <c r="A3" s="17"/>
      <c r="B3" s="16"/>
      <c r="C3" s="29"/>
      <c r="D3" s="18"/>
      <c r="E3" s="18"/>
      <c r="F3" s="18"/>
      <c r="G3" s="18"/>
      <c r="H3" s="1"/>
    </row>
    <row r="4" spans="1:8" ht="21" customHeight="1">
      <c r="A4" s="788" t="s">
        <v>25</v>
      </c>
      <c r="B4" s="789" t="s">
        <v>729</v>
      </c>
      <c r="C4" s="791" t="s">
        <v>114</v>
      </c>
      <c r="D4" s="791"/>
      <c r="E4" s="791"/>
      <c r="F4" s="791" t="s">
        <v>115</v>
      </c>
      <c r="G4" s="791"/>
      <c r="H4" s="792"/>
    </row>
    <row r="5" spans="1:8" ht="21" customHeight="1">
      <c r="A5" s="788"/>
      <c r="B5" s="790"/>
      <c r="C5" s="413" t="s">
        <v>26</v>
      </c>
      <c r="D5" s="413" t="s">
        <v>88</v>
      </c>
      <c r="E5" s="413" t="s">
        <v>66</v>
      </c>
      <c r="F5" s="413" t="s">
        <v>26</v>
      </c>
      <c r="G5" s="413" t="s">
        <v>88</v>
      </c>
      <c r="H5" s="413" t="s">
        <v>66</v>
      </c>
    </row>
    <row r="6" spans="1:8" ht="26.65" customHeight="1">
      <c r="A6" s="788"/>
      <c r="B6" s="414" t="s">
        <v>95</v>
      </c>
      <c r="C6" s="793"/>
      <c r="D6" s="794"/>
      <c r="E6" s="794"/>
      <c r="F6" s="794"/>
      <c r="G6" s="794"/>
      <c r="H6" s="795"/>
    </row>
    <row r="7" spans="1:8" ht="22.9" customHeight="1">
      <c r="A7" s="458">
        <v>1</v>
      </c>
      <c r="B7" s="415" t="s">
        <v>843</v>
      </c>
      <c r="C7" s="717">
        <f>SUM(C8:C10)</f>
        <v>84054589.099999994</v>
      </c>
      <c r="D7" s="717">
        <f>SUM(D8:D10)</f>
        <v>69197300.187232047</v>
      </c>
      <c r="E7" s="696">
        <f>C7+D7</f>
        <v>153251889.28723204</v>
      </c>
      <c r="F7" s="717">
        <f>SUM(F8:F10)</f>
        <v>60948010</v>
      </c>
      <c r="G7" s="717">
        <f>SUM(G8:G10)</f>
        <v>45161576.060869426</v>
      </c>
      <c r="H7" s="696">
        <f>F7+G7</f>
        <v>106109586.06086943</v>
      </c>
    </row>
    <row r="8" spans="1:8">
      <c r="A8" s="458">
        <v>1.1000000000000001</v>
      </c>
      <c r="B8" s="416" t="s">
        <v>96</v>
      </c>
      <c r="C8" s="717">
        <v>84054237.739999995</v>
      </c>
      <c r="D8" s="717">
        <v>62500215.717500001</v>
      </c>
      <c r="E8" s="696">
        <f t="shared" ref="E8:E36" si="0">C8+D8</f>
        <v>146554453.45749998</v>
      </c>
      <c r="F8" s="717">
        <v>60947659</v>
      </c>
      <c r="G8" s="717">
        <v>38767687</v>
      </c>
      <c r="H8" s="696">
        <f t="shared" ref="H8:H36" si="1">F8+G8</f>
        <v>99715346</v>
      </c>
    </row>
    <row r="9" spans="1:8">
      <c r="A9" s="458">
        <v>1.2</v>
      </c>
      <c r="B9" s="416" t="s">
        <v>97</v>
      </c>
      <c r="C9" s="717">
        <v>351.36</v>
      </c>
      <c r="D9" s="717">
        <v>0</v>
      </c>
      <c r="E9" s="696">
        <f t="shared" si="0"/>
        <v>351.36</v>
      </c>
      <c r="F9" s="717">
        <v>351</v>
      </c>
      <c r="G9" s="717">
        <v>0</v>
      </c>
      <c r="H9" s="696">
        <f t="shared" si="1"/>
        <v>351</v>
      </c>
    </row>
    <row r="10" spans="1:8">
      <c r="A10" s="458">
        <v>1.3</v>
      </c>
      <c r="B10" s="416" t="s">
        <v>98</v>
      </c>
      <c r="C10" s="717">
        <v>0</v>
      </c>
      <c r="D10" s="717">
        <v>6697084.4697320536</v>
      </c>
      <c r="E10" s="696">
        <f t="shared" si="0"/>
        <v>6697084.4697320536</v>
      </c>
      <c r="F10" s="717">
        <v>0</v>
      </c>
      <c r="G10" s="717">
        <v>6393889.0608694255</v>
      </c>
      <c r="H10" s="696">
        <f t="shared" si="1"/>
        <v>6393889.0608694255</v>
      </c>
    </row>
    <row r="11" spans="1:8">
      <c r="A11" s="458">
        <v>2</v>
      </c>
      <c r="B11" s="417" t="s">
        <v>730</v>
      </c>
      <c r="C11" s="717"/>
      <c r="D11" s="717"/>
      <c r="E11" s="696">
        <f t="shared" si="0"/>
        <v>0</v>
      </c>
      <c r="F11" s="717"/>
      <c r="G11" s="717"/>
      <c r="H11" s="696">
        <f t="shared" si="1"/>
        <v>0</v>
      </c>
    </row>
    <row r="12" spans="1:8">
      <c r="A12" s="458">
        <v>2.1</v>
      </c>
      <c r="B12" s="418" t="s">
        <v>731</v>
      </c>
      <c r="C12" s="717"/>
      <c r="D12" s="717"/>
      <c r="E12" s="696">
        <f t="shared" si="0"/>
        <v>0</v>
      </c>
      <c r="F12" s="717"/>
      <c r="G12" s="717"/>
      <c r="H12" s="696">
        <f t="shared" si="1"/>
        <v>0</v>
      </c>
    </row>
    <row r="13" spans="1:8" ht="26.65" customHeight="1">
      <c r="A13" s="458">
        <v>3</v>
      </c>
      <c r="B13" s="419" t="s">
        <v>732</v>
      </c>
      <c r="C13" s="717"/>
      <c r="D13" s="717"/>
      <c r="E13" s="696">
        <f t="shared" si="0"/>
        <v>0</v>
      </c>
      <c r="F13" s="717"/>
      <c r="G13" s="717"/>
      <c r="H13" s="696">
        <f t="shared" si="1"/>
        <v>0</v>
      </c>
    </row>
    <row r="14" spans="1:8" ht="26.65" customHeight="1">
      <c r="A14" s="458">
        <v>4</v>
      </c>
      <c r="B14" s="420" t="s">
        <v>733</v>
      </c>
      <c r="C14" s="717"/>
      <c r="D14" s="717"/>
      <c r="E14" s="696">
        <f t="shared" si="0"/>
        <v>0</v>
      </c>
      <c r="F14" s="717"/>
      <c r="G14" s="717"/>
      <c r="H14" s="696">
        <f t="shared" si="1"/>
        <v>0</v>
      </c>
    </row>
    <row r="15" spans="1:8" ht="24.4" customHeight="1">
      <c r="A15" s="458">
        <v>5</v>
      </c>
      <c r="B15" s="420" t="s">
        <v>734</v>
      </c>
      <c r="C15" s="695">
        <f>SUM(C16:C18)</f>
        <v>0</v>
      </c>
      <c r="D15" s="695">
        <f>SUM(D16:D18)</f>
        <v>0</v>
      </c>
      <c r="E15" s="694">
        <f t="shared" si="0"/>
        <v>0</v>
      </c>
      <c r="F15" s="695">
        <f>SUM(F16:F18)</f>
        <v>0</v>
      </c>
      <c r="G15" s="695">
        <f>SUM(G16:G18)</f>
        <v>0</v>
      </c>
      <c r="H15" s="694">
        <f t="shared" si="1"/>
        <v>0</v>
      </c>
    </row>
    <row r="16" spans="1:8">
      <c r="A16" s="458">
        <v>5.0999999999999996</v>
      </c>
      <c r="B16" s="421" t="s">
        <v>735</v>
      </c>
      <c r="C16" s="717">
        <v>0</v>
      </c>
      <c r="D16" s="717">
        <v>0</v>
      </c>
      <c r="E16" s="696">
        <f t="shared" si="0"/>
        <v>0</v>
      </c>
      <c r="F16" s="717"/>
      <c r="G16" s="717"/>
      <c r="H16" s="696">
        <f t="shared" si="1"/>
        <v>0</v>
      </c>
    </row>
    <row r="17" spans="1:8">
      <c r="A17" s="458">
        <v>5.2</v>
      </c>
      <c r="B17" s="421" t="s">
        <v>569</v>
      </c>
      <c r="C17" s="717"/>
      <c r="D17" s="717"/>
      <c r="E17" s="696">
        <f t="shared" si="0"/>
        <v>0</v>
      </c>
      <c r="F17" s="717"/>
      <c r="G17" s="717"/>
      <c r="H17" s="696">
        <f t="shared" si="1"/>
        <v>0</v>
      </c>
    </row>
    <row r="18" spans="1:8">
      <c r="A18" s="458">
        <v>5.3</v>
      </c>
      <c r="B18" s="421" t="s">
        <v>736</v>
      </c>
      <c r="C18" s="717"/>
      <c r="D18" s="717"/>
      <c r="E18" s="696">
        <f t="shared" si="0"/>
        <v>0</v>
      </c>
      <c r="F18" s="717"/>
      <c r="G18" s="717"/>
      <c r="H18" s="696">
        <f t="shared" si="1"/>
        <v>0</v>
      </c>
    </row>
    <row r="19" spans="1:8">
      <c r="A19" s="458">
        <v>6</v>
      </c>
      <c r="B19" s="419" t="s">
        <v>737</v>
      </c>
      <c r="C19" s="717">
        <f>SUM(C20:C21)</f>
        <v>79591674.825562656</v>
      </c>
      <c r="D19" s="717">
        <f>SUM(D20:D21)</f>
        <v>116934582.79563439</v>
      </c>
      <c r="E19" s="696">
        <f t="shared" si="0"/>
        <v>196526257.62119704</v>
      </c>
      <c r="F19" s="717">
        <f>SUM(F20:F21)</f>
        <v>122510922.7683114</v>
      </c>
      <c r="G19" s="717">
        <f>SUM(G20:G21)</f>
        <v>142206870.34410736</v>
      </c>
      <c r="H19" s="696">
        <f t="shared" si="1"/>
        <v>264717793.11241877</v>
      </c>
    </row>
    <row r="20" spans="1:8">
      <c r="A20" s="458">
        <v>6.1</v>
      </c>
      <c r="B20" s="421" t="s">
        <v>569</v>
      </c>
      <c r="C20" s="717"/>
      <c r="D20" s="717"/>
      <c r="E20" s="696">
        <f t="shared" si="0"/>
        <v>0</v>
      </c>
      <c r="F20" s="717">
        <v>5479386.2983851396</v>
      </c>
      <c r="G20" s="717"/>
      <c r="H20" s="696">
        <f t="shared" si="1"/>
        <v>5479386.2983851396</v>
      </c>
    </row>
    <row r="21" spans="1:8">
      <c r="A21" s="458">
        <v>6.2</v>
      </c>
      <c r="B21" s="421" t="s">
        <v>736</v>
      </c>
      <c r="C21" s="717">
        <v>79591674.825562656</v>
      </c>
      <c r="D21" s="717">
        <v>116934582.79563439</v>
      </c>
      <c r="E21" s="696">
        <f t="shared" si="0"/>
        <v>196526257.62119704</v>
      </c>
      <c r="F21" s="717">
        <v>117031536.46992625</v>
      </c>
      <c r="G21" s="717">
        <v>142206870.34410736</v>
      </c>
      <c r="H21" s="696">
        <f t="shared" si="1"/>
        <v>259238406.81403363</v>
      </c>
    </row>
    <row r="22" spans="1:8">
      <c r="A22" s="458">
        <v>7</v>
      </c>
      <c r="B22" s="422" t="s">
        <v>738</v>
      </c>
      <c r="C22" s="717">
        <v>54000</v>
      </c>
      <c r="D22" s="717"/>
      <c r="E22" s="696">
        <f t="shared" si="0"/>
        <v>54000</v>
      </c>
      <c r="F22" s="717">
        <v>54000</v>
      </c>
      <c r="G22" s="717"/>
      <c r="H22" s="696">
        <f t="shared" si="1"/>
        <v>54000</v>
      </c>
    </row>
    <row r="23" spans="1:8" ht="21">
      <c r="A23" s="458">
        <v>8</v>
      </c>
      <c r="B23" s="423" t="s">
        <v>739</v>
      </c>
      <c r="C23" s="717"/>
      <c r="D23" s="717"/>
      <c r="E23" s="696">
        <f t="shared" si="0"/>
        <v>0</v>
      </c>
      <c r="F23" s="717"/>
      <c r="G23" s="717"/>
      <c r="H23" s="696">
        <f t="shared" si="1"/>
        <v>0</v>
      </c>
    </row>
    <row r="24" spans="1:8">
      <c r="A24" s="458">
        <v>9</v>
      </c>
      <c r="B24" s="420" t="s">
        <v>740</v>
      </c>
      <c r="C24" s="717">
        <f>SUM(C25:C26)</f>
        <v>63887457.020000011</v>
      </c>
      <c r="D24" s="717">
        <f>SUM(D25:D26)</f>
        <v>0</v>
      </c>
      <c r="E24" s="696">
        <f t="shared" si="0"/>
        <v>63887457.020000011</v>
      </c>
      <c r="F24" s="717">
        <f>SUM(F25:F26)</f>
        <v>63878375.689999998</v>
      </c>
      <c r="G24" s="717">
        <f>SUM(G25:G26)</f>
        <v>0</v>
      </c>
      <c r="H24" s="696">
        <f t="shared" si="1"/>
        <v>63878375.689999998</v>
      </c>
    </row>
    <row r="25" spans="1:8">
      <c r="A25" s="458">
        <v>9.1</v>
      </c>
      <c r="B25" s="424" t="s">
        <v>741</v>
      </c>
      <c r="C25" s="717">
        <v>34609140.889999993</v>
      </c>
      <c r="D25" s="717"/>
      <c r="E25" s="696">
        <f t="shared" si="0"/>
        <v>34609140.889999993</v>
      </c>
      <c r="F25" s="717">
        <v>35166745.359999999</v>
      </c>
      <c r="G25" s="717"/>
      <c r="H25" s="696">
        <f t="shared" si="1"/>
        <v>35166745.359999999</v>
      </c>
    </row>
    <row r="26" spans="1:8">
      <c r="A26" s="458">
        <v>9.1999999999999993</v>
      </c>
      <c r="B26" s="424" t="s">
        <v>742</v>
      </c>
      <c r="C26" s="717">
        <v>29278316.130000018</v>
      </c>
      <c r="D26" s="717"/>
      <c r="E26" s="696">
        <f t="shared" si="0"/>
        <v>29278316.130000018</v>
      </c>
      <c r="F26" s="717">
        <v>28711630.330000002</v>
      </c>
      <c r="G26" s="717"/>
      <c r="H26" s="696">
        <f t="shared" si="1"/>
        <v>28711630.330000002</v>
      </c>
    </row>
    <row r="27" spans="1:8">
      <c r="A27" s="458">
        <v>10</v>
      </c>
      <c r="B27" s="420" t="s">
        <v>36</v>
      </c>
      <c r="C27" s="717">
        <f>SUM(C28:C29)</f>
        <v>1227246.99</v>
      </c>
      <c r="D27" s="717">
        <f>SUM(D28:D29)</f>
        <v>0</v>
      </c>
      <c r="E27" s="696">
        <f t="shared" si="0"/>
        <v>1227246.99</v>
      </c>
      <c r="F27" s="717">
        <f>SUM(F28:F29)</f>
        <v>19206222</v>
      </c>
      <c r="G27" s="717">
        <f>SUM(G28:G29)</f>
        <v>0</v>
      </c>
      <c r="H27" s="696">
        <f t="shared" si="1"/>
        <v>19206222</v>
      </c>
    </row>
    <row r="28" spans="1:8">
      <c r="A28" s="458">
        <v>10.1</v>
      </c>
      <c r="B28" s="424" t="s">
        <v>743</v>
      </c>
      <c r="C28" s="717"/>
      <c r="D28" s="717"/>
      <c r="E28" s="696">
        <f t="shared" si="0"/>
        <v>0</v>
      </c>
      <c r="F28" s="717"/>
      <c r="G28" s="717"/>
      <c r="H28" s="696">
        <f t="shared" si="1"/>
        <v>0</v>
      </c>
    </row>
    <row r="29" spans="1:8">
      <c r="A29" s="458">
        <v>10.199999999999999</v>
      </c>
      <c r="B29" s="424" t="s">
        <v>744</v>
      </c>
      <c r="C29" s="717">
        <v>1227246.99</v>
      </c>
      <c r="D29" s="717"/>
      <c r="E29" s="696">
        <f t="shared" si="0"/>
        <v>1227246.99</v>
      </c>
      <c r="F29" s="717">
        <v>19206222</v>
      </c>
      <c r="G29" s="717"/>
      <c r="H29" s="696">
        <f t="shared" si="1"/>
        <v>19206222</v>
      </c>
    </row>
    <row r="30" spans="1:8">
      <c r="A30" s="458">
        <v>11</v>
      </c>
      <c r="B30" s="420" t="s">
        <v>745</v>
      </c>
      <c r="C30" s="717">
        <f>SUM(C31:C32)</f>
        <v>500121.3</v>
      </c>
      <c r="D30" s="717">
        <f>SUM(D31:D32)</f>
        <v>0</v>
      </c>
      <c r="E30" s="696">
        <f t="shared" si="0"/>
        <v>500121.3</v>
      </c>
      <c r="F30" s="717">
        <f>SUM(F31:F32)</f>
        <v>702433</v>
      </c>
      <c r="G30" s="717">
        <f>SUM(G31:G32)</f>
        <v>0</v>
      </c>
      <c r="H30" s="696">
        <f t="shared" si="1"/>
        <v>702433</v>
      </c>
    </row>
    <row r="31" spans="1:8">
      <c r="A31" s="458">
        <v>11.1</v>
      </c>
      <c r="B31" s="424" t="s">
        <v>746</v>
      </c>
      <c r="C31" s="717">
        <v>500121.3</v>
      </c>
      <c r="D31" s="717"/>
      <c r="E31" s="696">
        <f t="shared" si="0"/>
        <v>500121.3</v>
      </c>
      <c r="F31" s="717">
        <v>702433</v>
      </c>
      <c r="G31" s="717"/>
      <c r="H31" s="696">
        <f t="shared" si="1"/>
        <v>702433</v>
      </c>
    </row>
    <row r="32" spans="1:8">
      <c r="A32" s="458">
        <v>11.2</v>
      </c>
      <c r="B32" s="424" t="s">
        <v>747</v>
      </c>
      <c r="C32" s="717">
        <v>0</v>
      </c>
      <c r="D32" s="717"/>
      <c r="E32" s="696">
        <f t="shared" si="0"/>
        <v>0</v>
      </c>
      <c r="F32" s="717"/>
      <c r="G32" s="717"/>
      <c r="H32" s="696">
        <f t="shared" si="1"/>
        <v>0</v>
      </c>
    </row>
    <row r="33" spans="1:8">
      <c r="A33" s="458">
        <v>13</v>
      </c>
      <c r="B33" s="420" t="s">
        <v>99</v>
      </c>
      <c r="C33" s="717">
        <v>36476870.159999996</v>
      </c>
      <c r="D33" s="717">
        <v>3312409.4781372934</v>
      </c>
      <c r="E33" s="696">
        <f t="shared" si="0"/>
        <v>39789279.638137288</v>
      </c>
      <c r="F33" s="717">
        <v>34377724.273061298</v>
      </c>
      <c r="G33" s="717"/>
      <c r="H33" s="696">
        <f t="shared" si="1"/>
        <v>34377724.273061298</v>
      </c>
    </row>
    <row r="34" spans="1:8">
      <c r="A34" s="458">
        <v>13.1</v>
      </c>
      <c r="B34" s="425" t="s">
        <v>748</v>
      </c>
      <c r="C34" s="717">
        <v>22290850.919999994</v>
      </c>
      <c r="D34" s="717"/>
      <c r="E34" s="696">
        <f t="shared" si="0"/>
        <v>22290850.919999994</v>
      </c>
      <c r="F34" s="717">
        <v>23094707</v>
      </c>
      <c r="G34" s="717"/>
      <c r="H34" s="696">
        <f t="shared" si="1"/>
        <v>23094707</v>
      </c>
    </row>
    <row r="35" spans="1:8">
      <c r="A35" s="458">
        <v>13.2</v>
      </c>
      <c r="B35" s="425" t="s">
        <v>749</v>
      </c>
      <c r="C35" s="717"/>
      <c r="D35" s="717"/>
      <c r="E35" s="696">
        <f t="shared" si="0"/>
        <v>0</v>
      </c>
      <c r="F35" s="717"/>
      <c r="G35" s="717"/>
      <c r="H35" s="696">
        <f t="shared" si="1"/>
        <v>0</v>
      </c>
    </row>
    <row r="36" spans="1:8">
      <c r="A36" s="458">
        <v>14</v>
      </c>
      <c r="B36" s="426" t="s">
        <v>750</v>
      </c>
      <c r="C36" s="717">
        <f>SUM(C7,C11,C13,C14,C15,C19,C22,C23,C24,C27,C30,C33)</f>
        <v>265791959.39556268</v>
      </c>
      <c r="D36" s="717">
        <f>SUM(D7,D11,D13,D14,D15,D19,D22,D23,D24,D27,D30,D33)</f>
        <v>189444292.46100372</v>
      </c>
      <c r="E36" s="696">
        <f t="shared" si="0"/>
        <v>455236251.85656643</v>
      </c>
      <c r="F36" s="717">
        <f>SUM(F7,F11,F13,F14,F15,F19,F22,F23,F24,F27,F30,F33)</f>
        <v>301677687.73137265</v>
      </c>
      <c r="G36" s="717">
        <f>SUM(G7,G11,G13,G14,G15,G19,G22,G23,G24,G27,G30,G33)</f>
        <v>187368446.40497679</v>
      </c>
      <c r="H36" s="696">
        <f t="shared" si="1"/>
        <v>489046134.13634944</v>
      </c>
    </row>
    <row r="37" spans="1:8" ht="22.5" customHeight="1">
      <c r="A37" s="458"/>
      <c r="B37" s="427" t="s">
        <v>104</v>
      </c>
      <c r="C37" s="785"/>
      <c r="D37" s="786"/>
      <c r="E37" s="786"/>
      <c r="F37" s="786"/>
      <c r="G37" s="786"/>
      <c r="H37" s="787"/>
    </row>
    <row r="38" spans="1:8">
      <c r="A38" s="458">
        <v>15</v>
      </c>
      <c r="B38" s="428" t="s">
        <v>751</v>
      </c>
      <c r="C38" s="717"/>
      <c r="D38" s="717"/>
      <c r="E38" s="696">
        <f>C38+D38</f>
        <v>0</v>
      </c>
      <c r="F38" s="717"/>
      <c r="G38" s="717"/>
      <c r="H38" s="696">
        <f>F38+G38</f>
        <v>0</v>
      </c>
    </row>
    <row r="39" spans="1:8">
      <c r="A39" s="458">
        <v>15.1</v>
      </c>
      <c r="B39" s="429" t="s">
        <v>731</v>
      </c>
      <c r="C39" s="717"/>
      <c r="D39" s="717"/>
      <c r="E39" s="696">
        <f t="shared" ref="E39:E53" si="2">C39+D39</f>
        <v>0</v>
      </c>
      <c r="F39" s="717"/>
      <c r="G39" s="717"/>
      <c r="H39" s="696">
        <f t="shared" ref="H39:H53" si="3">F39+G39</f>
        <v>0</v>
      </c>
    </row>
    <row r="40" spans="1:8" ht="24" customHeight="1">
      <c r="A40" s="458">
        <v>16</v>
      </c>
      <c r="B40" s="422" t="s">
        <v>752</v>
      </c>
      <c r="C40" s="717">
        <v>678.99</v>
      </c>
      <c r="D40" s="717">
        <v>285014.07019999996</v>
      </c>
      <c r="E40" s="696">
        <f t="shared" si="2"/>
        <v>285693.06019999995</v>
      </c>
      <c r="F40" s="717">
        <v>679</v>
      </c>
      <c r="G40" s="717">
        <v>284172</v>
      </c>
      <c r="H40" s="696">
        <f t="shared" si="3"/>
        <v>284851</v>
      </c>
    </row>
    <row r="41" spans="1:8" ht="21">
      <c r="A41" s="458">
        <v>17</v>
      </c>
      <c r="B41" s="422" t="s">
        <v>753</v>
      </c>
      <c r="C41" s="717">
        <f>SUM(C42:C45)</f>
        <v>15904227</v>
      </c>
      <c r="D41" s="717">
        <f>SUM(D42:D45)</f>
        <v>1071341</v>
      </c>
      <c r="E41" s="696">
        <f t="shared" si="2"/>
        <v>16975568</v>
      </c>
      <c r="F41" s="717">
        <f>SUM(F42:F45)</f>
        <v>23855967</v>
      </c>
      <c r="G41" s="717">
        <f>SUM(G42:G45)</f>
        <v>7024719.8466999996</v>
      </c>
      <c r="H41" s="696">
        <f t="shared" si="3"/>
        <v>30880686.846699998</v>
      </c>
    </row>
    <row r="42" spans="1:8">
      <c r="A42" s="458">
        <v>17.100000000000001</v>
      </c>
      <c r="B42" s="430" t="s">
        <v>754</v>
      </c>
      <c r="C42" s="717">
        <v>15904227</v>
      </c>
      <c r="D42" s="717">
        <v>1071341</v>
      </c>
      <c r="E42" s="696">
        <f t="shared" si="2"/>
        <v>16975568</v>
      </c>
      <c r="F42" s="693">
        <v>23833795</v>
      </c>
      <c r="G42" s="693">
        <v>3713792</v>
      </c>
      <c r="H42" s="696">
        <f t="shared" si="3"/>
        <v>27547587</v>
      </c>
    </row>
    <row r="43" spans="1:8">
      <c r="A43" s="458">
        <v>17.2</v>
      </c>
      <c r="B43" s="431" t="s">
        <v>100</v>
      </c>
      <c r="C43" s="717"/>
      <c r="D43" s="717"/>
      <c r="E43" s="696">
        <f t="shared" si="2"/>
        <v>0</v>
      </c>
      <c r="F43" s="717">
        <v>0</v>
      </c>
      <c r="G43" s="717">
        <v>3310927.8466999996</v>
      </c>
      <c r="H43" s="696">
        <f t="shared" si="3"/>
        <v>3310927.8466999996</v>
      </c>
    </row>
    <row r="44" spans="1:8">
      <c r="A44" s="458">
        <v>17.3</v>
      </c>
      <c r="B44" s="430" t="s">
        <v>755</v>
      </c>
      <c r="C44" s="717"/>
      <c r="D44" s="717"/>
      <c r="E44" s="696">
        <f t="shared" si="2"/>
        <v>0</v>
      </c>
      <c r="F44" s="717">
        <v>22172</v>
      </c>
      <c r="G44" s="717"/>
      <c r="H44" s="696">
        <f t="shared" si="3"/>
        <v>22172</v>
      </c>
    </row>
    <row r="45" spans="1:8">
      <c r="A45" s="458">
        <v>17.399999999999999</v>
      </c>
      <c r="B45" s="430" t="s">
        <v>756</v>
      </c>
      <c r="C45" s="717"/>
      <c r="D45" s="717"/>
      <c r="E45" s="696">
        <f t="shared" si="2"/>
        <v>0</v>
      </c>
      <c r="F45" s="717"/>
      <c r="G45" s="717"/>
      <c r="H45" s="696">
        <f t="shared" si="3"/>
        <v>0</v>
      </c>
    </row>
    <row r="46" spans="1:8">
      <c r="A46" s="458">
        <v>18</v>
      </c>
      <c r="B46" s="432" t="s">
        <v>757</v>
      </c>
      <c r="C46" s="717">
        <v>9589.7541600872501</v>
      </c>
      <c r="D46" s="717"/>
      <c r="E46" s="696">
        <f t="shared" si="2"/>
        <v>9589.7541600872501</v>
      </c>
      <c r="F46" s="717"/>
      <c r="G46" s="717"/>
      <c r="H46" s="696">
        <f t="shared" si="3"/>
        <v>0</v>
      </c>
    </row>
    <row r="47" spans="1:8">
      <c r="A47" s="458">
        <v>19</v>
      </c>
      <c r="B47" s="432" t="s">
        <v>758</v>
      </c>
      <c r="C47" s="717">
        <f>SUM(C48:C49)</f>
        <v>177465.593303701</v>
      </c>
      <c r="D47" s="717">
        <f>SUM(D48:D49)</f>
        <v>0</v>
      </c>
      <c r="E47" s="696">
        <f t="shared" si="2"/>
        <v>177465.593303701</v>
      </c>
      <c r="F47" s="717">
        <f>SUM(F48:F49)</f>
        <v>3257127.3185021859</v>
      </c>
      <c r="G47" s="717">
        <f>SUM(G48:G49)</f>
        <v>0</v>
      </c>
      <c r="H47" s="696">
        <f t="shared" si="3"/>
        <v>3257127.3185021859</v>
      </c>
    </row>
    <row r="48" spans="1:8">
      <c r="A48" s="458">
        <v>19.100000000000001</v>
      </c>
      <c r="B48" s="433" t="s">
        <v>759</v>
      </c>
      <c r="C48" s="717">
        <v>1986</v>
      </c>
      <c r="D48" s="717"/>
      <c r="E48" s="696">
        <f t="shared" si="2"/>
        <v>1986</v>
      </c>
      <c r="F48" s="717"/>
      <c r="G48" s="717"/>
      <c r="H48" s="696">
        <f t="shared" si="3"/>
        <v>0</v>
      </c>
    </row>
    <row r="49" spans="1:8">
      <c r="A49" s="458">
        <v>19.2</v>
      </c>
      <c r="B49" s="434" t="s">
        <v>760</v>
      </c>
      <c r="C49" s="717">
        <v>175479.593303701</v>
      </c>
      <c r="D49" s="717"/>
      <c r="E49" s="696">
        <f t="shared" si="2"/>
        <v>175479.593303701</v>
      </c>
      <c r="F49" s="717">
        <v>3257127.3185021859</v>
      </c>
      <c r="G49" s="717"/>
      <c r="H49" s="696">
        <f t="shared" si="3"/>
        <v>3257127.3185021859</v>
      </c>
    </row>
    <row r="50" spans="1:8">
      <c r="A50" s="458">
        <v>20</v>
      </c>
      <c r="B50" s="435" t="s">
        <v>101</v>
      </c>
      <c r="C50" s="717">
        <v>0</v>
      </c>
      <c r="D50" s="717">
        <v>95901341.479999989</v>
      </c>
      <c r="E50" s="696">
        <f t="shared" si="2"/>
        <v>95901341.479999989</v>
      </c>
      <c r="F50" s="717"/>
      <c r="G50" s="717">
        <v>107632651.1533</v>
      </c>
      <c r="H50" s="696">
        <f t="shared" si="3"/>
        <v>107632651.1533</v>
      </c>
    </row>
    <row r="51" spans="1:8">
      <c r="A51" s="458">
        <v>21</v>
      </c>
      <c r="B51" s="436" t="s">
        <v>89</v>
      </c>
      <c r="C51" s="717">
        <v>2003006.2014999995</v>
      </c>
      <c r="D51" s="717">
        <v>14880643.044500001</v>
      </c>
      <c r="E51" s="696">
        <f t="shared" si="2"/>
        <v>16883649.245999999</v>
      </c>
      <c r="F51" s="717">
        <v>2968974.2486902773</v>
      </c>
      <c r="G51" s="717">
        <v>19057274</v>
      </c>
      <c r="H51" s="696">
        <f t="shared" si="3"/>
        <v>22026248.248690277</v>
      </c>
    </row>
    <row r="52" spans="1:8">
      <c r="A52" s="458">
        <v>21.1</v>
      </c>
      <c r="B52" s="431" t="s">
        <v>761</v>
      </c>
      <c r="C52" s="717">
        <v>1060412.6299999999</v>
      </c>
      <c r="D52" s="717"/>
      <c r="E52" s="696">
        <f t="shared" si="2"/>
        <v>1060412.6299999999</v>
      </c>
      <c r="F52" s="717">
        <v>1060412.6299999999</v>
      </c>
      <c r="G52" s="717"/>
      <c r="H52" s="696">
        <f t="shared" si="3"/>
        <v>1060412.6299999999</v>
      </c>
    </row>
    <row r="53" spans="1:8">
      <c r="A53" s="458">
        <v>22</v>
      </c>
      <c r="B53" s="435" t="s">
        <v>762</v>
      </c>
      <c r="C53" s="717">
        <f>SUM(C38,C40,C41,C46,C47,C50,C51)</f>
        <v>18094967.538963787</v>
      </c>
      <c r="D53" s="717">
        <f>SUM(D38,D40,D41,D46,D47,D50,D51)</f>
        <v>112138339.59469998</v>
      </c>
      <c r="E53" s="696">
        <f t="shared" si="2"/>
        <v>130233307.13366377</v>
      </c>
      <c r="F53" s="717">
        <f>SUM(F38,F40,F41,F46,F47,F50,F51)</f>
        <v>30082747.567192465</v>
      </c>
      <c r="G53" s="717">
        <f>SUM(G38,G40,G41,G46,G47,G50,G51)</f>
        <v>133998817</v>
      </c>
      <c r="H53" s="696">
        <f t="shared" si="3"/>
        <v>164081564.56719247</v>
      </c>
    </row>
    <row r="54" spans="1:8" ht="24" customHeight="1">
      <c r="A54" s="458"/>
      <c r="B54" s="437" t="s">
        <v>763</v>
      </c>
      <c r="C54" s="785"/>
      <c r="D54" s="786"/>
      <c r="E54" s="786"/>
      <c r="F54" s="786"/>
      <c r="G54" s="786"/>
      <c r="H54" s="787"/>
    </row>
    <row r="55" spans="1:8">
      <c r="A55" s="458">
        <v>23</v>
      </c>
      <c r="B55" s="435" t="s">
        <v>105</v>
      </c>
      <c r="C55" s="717">
        <v>209008277</v>
      </c>
      <c r="D55" s="717"/>
      <c r="E55" s="696">
        <f>C55+D55</f>
        <v>209008277</v>
      </c>
      <c r="F55" s="717">
        <v>209008277</v>
      </c>
      <c r="G55" s="717"/>
      <c r="H55" s="696">
        <f>F55+G55</f>
        <v>209008277</v>
      </c>
    </row>
    <row r="56" spans="1:8">
      <c r="A56" s="458">
        <v>24</v>
      </c>
      <c r="B56" s="435" t="s">
        <v>764</v>
      </c>
      <c r="C56" s="717"/>
      <c r="D56" s="717"/>
      <c r="E56" s="696">
        <f t="shared" ref="E56:E69" si="4">C56+D56</f>
        <v>0</v>
      </c>
      <c r="F56" s="717"/>
      <c r="G56" s="717"/>
      <c r="H56" s="696">
        <f t="shared" ref="H56:H69" si="5">F56+G56</f>
        <v>0</v>
      </c>
    </row>
    <row r="57" spans="1:8">
      <c r="A57" s="458">
        <v>25</v>
      </c>
      <c r="B57" s="438" t="s">
        <v>102</v>
      </c>
      <c r="C57" s="717"/>
      <c r="D57" s="717"/>
      <c r="E57" s="696">
        <f t="shared" si="4"/>
        <v>0</v>
      </c>
      <c r="F57" s="717"/>
      <c r="G57" s="717"/>
      <c r="H57" s="696">
        <f t="shared" si="5"/>
        <v>0</v>
      </c>
    </row>
    <row r="58" spans="1:8">
      <c r="A58" s="458">
        <v>26</v>
      </c>
      <c r="B58" s="432" t="s">
        <v>765</v>
      </c>
      <c r="C58" s="717"/>
      <c r="D58" s="717"/>
      <c r="E58" s="696">
        <f t="shared" si="4"/>
        <v>0</v>
      </c>
      <c r="F58" s="717"/>
      <c r="G58" s="717"/>
      <c r="H58" s="696">
        <f t="shared" si="5"/>
        <v>0</v>
      </c>
    </row>
    <row r="59" spans="1:8" ht="21">
      <c r="A59" s="458">
        <v>27</v>
      </c>
      <c r="B59" s="432" t="s">
        <v>766</v>
      </c>
      <c r="C59" s="717">
        <f>SUM(C60:C61)</f>
        <v>50857200</v>
      </c>
      <c r="D59" s="717">
        <f>SUM(D60:D61)</f>
        <v>0</v>
      </c>
      <c r="E59" s="696">
        <f t="shared" si="4"/>
        <v>50857200</v>
      </c>
      <c r="F59" s="717">
        <f>SUM(F60:F61)</f>
        <v>62509000</v>
      </c>
      <c r="G59" s="717"/>
      <c r="H59" s="696">
        <f t="shared" si="5"/>
        <v>62509000</v>
      </c>
    </row>
    <row r="60" spans="1:8">
      <c r="A60" s="458">
        <v>27.1</v>
      </c>
      <c r="B60" s="439" t="s">
        <v>767</v>
      </c>
      <c r="C60" s="717">
        <v>0</v>
      </c>
      <c r="D60" s="717"/>
      <c r="E60" s="696">
        <f t="shared" si="4"/>
        <v>0</v>
      </c>
      <c r="F60" s="717">
        <v>0</v>
      </c>
      <c r="G60" s="717"/>
      <c r="H60" s="696">
        <f t="shared" si="5"/>
        <v>0</v>
      </c>
    </row>
    <row r="61" spans="1:8">
      <c r="A61" s="458">
        <v>27.2</v>
      </c>
      <c r="B61" s="430" t="s">
        <v>768</v>
      </c>
      <c r="C61" s="717">
        <v>50857200</v>
      </c>
      <c r="D61" s="717"/>
      <c r="E61" s="696">
        <f t="shared" si="4"/>
        <v>50857200</v>
      </c>
      <c r="F61" s="717">
        <v>62509000</v>
      </c>
      <c r="G61" s="717"/>
      <c r="H61" s="696">
        <f t="shared" si="5"/>
        <v>62509000</v>
      </c>
    </row>
    <row r="62" spans="1:8">
      <c r="A62" s="458">
        <v>28</v>
      </c>
      <c r="B62" s="436" t="s">
        <v>769</v>
      </c>
      <c r="C62" s="717"/>
      <c r="D62" s="717"/>
      <c r="E62" s="696">
        <f t="shared" si="4"/>
        <v>0</v>
      </c>
      <c r="F62" s="717"/>
      <c r="G62" s="717"/>
      <c r="H62" s="696">
        <f t="shared" si="5"/>
        <v>0</v>
      </c>
    </row>
    <row r="63" spans="1:8">
      <c r="A63" s="458">
        <v>29</v>
      </c>
      <c r="B63" s="432" t="s">
        <v>770</v>
      </c>
      <c r="C63" s="717">
        <f>SUM(C64:C66)</f>
        <v>11740025.619999999</v>
      </c>
      <c r="D63" s="717">
        <f>SUM(D64:D66)</f>
        <v>0</v>
      </c>
      <c r="E63" s="696">
        <f t="shared" si="4"/>
        <v>11740025.619999999</v>
      </c>
      <c r="F63" s="717">
        <f>SUM(F64:F66)</f>
        <v>11836127</v>
      </c>
      <c r="G63" s="717"/>
      <c r="H63" s="696">
        <f t="shared" si="5"/>
        <v>11836127</v>
      </c>
    </row>
    <row r="64" spans="1:8">
      <c r="A64" s="458">
        <v>29.1</v>
      </c>
      <c r="B64" s="421" t="s">
        <v>771</v>
      </c>
      <c r="C64" s="717">
        <v>11740025.619999999</v>
      </c>
      <c r="D64" s="717"/>
      <c r="E64" s="696">
        <f t="shared" si="4"/>
        <v>11740025.619999999</v>
      </c>
      <c r="F64" s="717">
        <v>11836127</v>
      </c>
      <c r="G64" s="717"/>
      <c r="H64" s="696">
        <f t="shared" si="5"/>
        <v>11836127</v>
      </c>
    </row>
    <row r="65" spans="1:8" ht="25.15" customHeight="1">
      <c r="A65" s="458">
        <v>29.2</v>
      </c>
      <c r="B65" s="439" t="s">
        <v>772</v>
      </c>
      <c r="C65" s="717"/>
      <c r="D65" s="717"/>
      <c r="E65" s="696">
        <f t="shared" si="4"/>
        <v>0</v>
      </c>
      <c r="F65" s="717"/>
      <c r="G65" s="717"/>
      <c r="H65" s="696">
        <f t="shared" si="5"/>
        <v>0</v>
      </c>
    </row>
    <row r="66" spans="1:8" ht="22.5" customHeight="1">
      <c r="A66" s="458">
        <v>29.3</v>
      </c>
      <c r="B66" s="424" t="s">
        <v>773</v>
      </c>
      <c r="C66" s="717"/>
      <c r="D66" s="717"/>
      <c r="E66" s="696">
        <f t="shared" si="4"/>
        <v>0</v>
      </c>
      <c r="F66" s="717"/>
      <c r="G66" s="717"/>
      <c r="H66" s="696">
        <f t="shared" si="5"/>
        <v>0</v>
      </c>
    </row>
    <row r="67" spans="1:8">
      <c r="A67" s="458">
        <v>30</v>
      </c>
      <c r="B67" s="420" t="s">
        <v>103</v>
      </c>
      <c r="C67" s="717">
        <v>53397442.102902658</v>
      </c>
      <c r="D67" s="717"/>
      <c r="E67" s="696">
        <f t="shared" si="4"/>
        <v>53397442.102902658</v>
      </c>
      <c r="F67" s="717">
        <v>41611166</v>
      </c>
      <c r="G67" s="717"/>
      <c r="H67" s="696">
        <f t="shared" si="5"/>
        <v>41611166</v>
      </c>
    </row>
    <row r="68" spans="1:8">
      <c r="A68" s="458">
        <v>31</v>
      </c>
      <c r="B68" s="440" t="s">
        <v>774</v>
      </c>
      <c r="C68" s="717">
        <f>SUM(C55,C56,C57,C58,C59,C62,C63,C67)</f>
        <v>325002944.72290266</v>
      </c>
      <c r="D68" s="717">
        <f>SUM(D55,D56,D57,D58,D59,D62,D63,D67)</f>
        <v>0</v>
      </c>
      <c r="E68" s="696">
        <f t="shared" si="4"/>
        <v>325002944.72290266</v>
      </c>
      <c r="F68" s="717">
        <f>SUM(F55,F56,F57,F58,F59,F62,F63,F67)</f>
        <v>324964570</v>
      </c>
      <c r="G68" s="717">
        <f>SUM(G55,G56,G57,G58,G59,G62,G63,G67)</f>
        <v>0</v>
      </c>
      <c r="H68" s="696">
        <f t="shared" si="5"/>
        <v>324964570</v>
      </c>
    </row>
    <row r="69" spans="1:8">
      <c r="A69" s="458">
        <v>32</v>
      </c>
      <c r="B69" s="441" t="s">
        <v>775</v>
      </c>
      <c r="C69" s="717">
        <f>SUM(C53,C68)</f>
        <v>343097912.26186645</v>
      </c>
      <c r="D69" s="717">
        <f>SUM(D53,D68)</f>
        <v>112138339.59469998</v>
      </c>
      <c r="E69" s="696">
        <f t="shared" si="4"/>
        <v>455236251.85656643</v>
      </c>
      <c r="F69" s="717">
        <f>SUM(F53,F68)</f>
        <v>355047317.56719244</v>
      </c>
      <c r="G69" s="717">
        <f>SUM(G53,G68)</f>
        <v>133998817</v>
      </c>
      <c r="H69" s="696">
        <f t="shared" si="5"/>
        <v>489046134.56719244</v>
      </c>
    </row>
    <row r="70" spans="1:8">
      <c r="C70" s="697"/>
      <c r="D70" s="697"/>
      <c r="E70" s="697"/>
      <c r="F70" s="697"/>
      <c r="G70" s="697"/>
      <c r="H70" s="697"/>
    </row>
    <row r="71" spans="1:8">
      <c r="C71" s="697"/>
      <c r="D71" s="697"/>
      <c r="E71" s="697"/>
      <c r="F71" s="697"/>
      <c r="G71" s="697"/>
      <c r="H71" s="697"/>
    </row>
    <row r="72" spans="1:8">
      <c r="C72" s="697"/>
      <c r="D72" s="697"/>
      <c r="E72" s="697"/>
      <c r="F72" s="697"/>
      <c r="G72" s="697"/>
      <c r="H72" s="697"/>
    </row>
    <row r="73" spans="1:8">
      <c r="C73" s="697"/>
      <c r="D73" s="697"/>
      <c r="E73" s="697"/>
      <c r="F73" s="697"/>
      <c r="G73" s="697"/>
      <c r="H73" s="697"/>
    </row>
    <row r="74" spans="1:8">
      <c r="C74" s="697"/>
      <c r="D74" s="697"/>
      <c r="E74" s="697"/>
      <c r="F74" s="697"/>
      <c r="G74" s="697"/>
      <c r="H74" s="697"/>
    </row>
    <row r="75" spans="1:8">
      <c r="C75" s="697"/>
      <c r="D75" s="697"/>
      <c r="E75" s="697"/>
      <c r="F75" s="697"/>
      <c r="G75" s="697"/>
      <c r="H75" s="697"/>
    </row>
    <row r="76" spans="1:8">
      <c r="C76" s="697"/>
      <c r="D76" s="697"/>
      <c r="E76" s="697"/>
      <c r="F76" s="697"/>
      <c r="G76" s="697"/>
      <c r="H76" s="697"/>
    </row>
    <row r="77" spans="1:8">
      <c r="C77" s="697"/>
      <c r="D77" s="697"/>
      <c r="E77" s="697"/>
      <c r="F77" s="697"/>
      <c r="G77" s="697"/>
      <c r="H77" s="697"/>
    </row>
    <row r="78" spans="1:8">
      <c r="C78" s="697"/>
      <c r="D78" s="697"/>
      <c r="E78" s="697"/>
      <c r="F78" s="697"/>
      <c r="G78" s="697"/>
      <c r="H78" s="697"/>
    </row>
    <row r="79" spans="1:8">
      <c r="C79" s="697"/>
      <c r="D79" s="697"/>
      <c r="E79" s="697"/>
      <c r="F79" s="697"/>
      <c r="G79" s="697"/>
      <c r="H79" s="697"/>
    </row>
    <row r="80" spans="1:8">
      <c r="C80" s="697"/>
      <c r="D80" s="697"/>
      <c r="E80" s="697"/>
      <c r="F80" s="697"/>
      <c r="G80" s="697"/>
      <c r="H80" s="697"/>
    </row>
    <row r="81" spans="3:8">
      <c r="C81" s="697"/>
      <c r="D81" s="697"/>
      <c r="E81" s="697"/>
      <c r="F81" s="697"/>
      <c r="G81" s="697"/>
      <c r="H81" s="697"/>
    </row>
    <row r="82" spans="3:8">
      <c r="C82" s="697"/>
      <c r="D82" s="697"/>
      <c r="E82" s="697"/>
      <c r="F82" s="697"/>
      <c r="G82" s="697"/>
      <c r="H82" s="697"/>
    </row>
    <row r="83" spans="3:8">
      <c r="C83" s="697"/>
      <c r="D83" s="697"/>
      <c r="E83" s="697"/>
      <c r="F83" s="697"/>
      <c r="G83" s="697"/>
      <c r="H83" s="697"/>
    </row>
    <row r="84" spans="3:8">
      <c r="C84" s="697"/>
      <c r="D84" s="697"/>
      <c r="E84" s="697"/>
      <c r="F84" s="697"/>
      <c r="G84" s="697"/>
      <c r="H84" s="697"/>
    </row>
    <row r="85" spans="3:8">
      <c r="C85" s="697"/>
      <c r="D85" s="697"/>
      <c r="E85" s="697"/>
      <c r="F85" s="697"/>
      <c r="G85" s="697"/>
      <c r="H85" s="697"/>
    </row>
    <row r="86" spans="3:8">
      <c r="C86" s="697"/>
      <c r="D86" s="697"/>
      <c r="E86" s="697"/>
      <c r="F86" s="697"/>
      <c r="G86" s="697"/>
      <c r="H86" s="697"/>
    </row>
    <row r="87" spans="3:8">
      <c r="C87" s="697"/>
      <c r="D87" s="697"/>
      <c r="E87" s="697"/>
      <c r="F87" s="697"/>
      <c r="G87" s="697"/>
      <c r="H87" s="697"/>
    </row>
    <row r="88" spans="3:8">
      <c r="C88" s="697"/>
      <c r="D88" s="697"/>
      <c r="E88" s="697"/>
      <c r="F88" s="697"/>
      <c r="G88" s="697"/>
      <c r="H88" s="697"/>
    </row>
    <row r="89" spans="3:8">
      <c r="C89" s="697"/>
      <c r="D89" s="697"/>
      <c r="E89" s="697"/>
      <c r="F89" s="697"/>
      <c r="G89" s="697"/>
      <c r="H89" s="697"/>
    </row>
    <row r="90" spans="3:8">
      <c r="C90" s="697"/>
      <c r="D90" s="697"/>
      <c r="E90" s="697"/>
      <c r="F90" s="697"/>
      <c r="G90" s="697"/>
      <c r="H90" s="697"/>
    </row>
    <row r="91" spans="3:8">
      <c r="C91" s="697"/>
      <c r="D91" s="697"/>
      <c r="E91" s="697"/>
      <c r="F91" s="697"/>
      <c r="G91" s="697"/>
      <c r="H91" s="697"/>
    </row>
    <row r="92" spans="3:8">
      <c r="C92" s="697"/>
      <c r="D92" s="697"/>
      <c r="E92" s="697"/>
      <c r="F92" s="697"/>
      <c r="G92" s="697"/>
      <c r="H92" s="697"/>
    </row>
    <row r="93" spans="3:8">
      <c r="C93" s="697"/>
      <c r="D93" s="697"/>
      <c r="E93" s="697"/>
      <c r="F93" s="697"/>
      <c r="G93" s="697"/>
      <c r="H93" s="697"/>
    </row>
    <row r="94" spans="3:8">
      <c r="C94" s="697"/>
      <c r="D94" s="697"/>
      <c r="E94" s="697"/>
      <c r="F94" s="697"/>
      <c r="G94" s="697"/>
      <c r="H94" s="697"/>
    </row>
    <row r="95" spans="3:8">
      <c r="C95" s="697"/>
      <c r="D95" s="697"/>
      <c r="E95" s="697"/>
      <c r="F95" s="697"/>
      <c r="G95" s="697"/>
      <c r="H95" s="697"/>
    </row>
    <row r="96" spans="3:8">
      <c r="C96" s="697"/>
      <c r="D96" s="697"/>
      <c r="E96" s="697"/>
      <c r="F96" s="697"/>
      <c r="G96" s="697"/>
      <c r="H96" s="697"/>
    </row>
    <row r="97" spans="3:8">
      <c r="C97" s="697"/>
      <c r="D97" s="697"/>
      <c r="E97" s="697"/>
      <c r="F97" s="697"/>
      <c r="G97" s="697"/>
      <c r="H97" s="697"/>
    </row>
    <row r="98" spans="3:8">
      <c r="C98" s="697"/>
      <c r="D98" s="697"/>
      <c r="E98" s="697"/>
      <c r="F98" s="697"/>
      <c r="G98" s="697"/>
      <c r="H98" s="697"/>
    </row>
    <row r="99" spans="3:8">
      <c r="C99" s="697"/>
      <c r="D99" s="697"/>
      <c r="E99" s="697"/>
      <c r="F99" s="697"/>
      <c r="G99" s="697"/>
      <c r="H99" s="697"/>
    </row>
    <row r="100" spans="3:8">
      <c r="C100" s="697"/>
      <c r="D100" s="697"/>
      <c r="E100" s="697"/>
      <c r="F100" s="697"/>
      <c r="G100" s="697"/>
      <c r="H100" s="697"/>
    </row>
    <row r="101" spans="3:8">
      <c r="C101" s="697"/>
      <c r="D101" s="697"/>
      <c r="E101" s="697"/>
      <c r="F101" s="697"/>
      <c r="G101" s="697"/>
      <c r="H101" s="697"/>
    </row>
    <row r="102" spans="3:8">
      <c r="C102" s="697"/>
      <c r="D102" s="697"/>
      <c r="E102" s="697"/>
      <c r="F102" s="697"/>
      <c r="G102" s="697"/>
      <c r="H102" s="697"/>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42" zoomScale="80" zoomScaleNormal="80" workbookViewId="0">
      <selection activeCell="C154" sqref="C154"/>
    </sheetView>
  </sheetViews>
  <sheetFormatPr defaultColWidth="43.5703125" defaultRowHeight="11.25"/>
  <cols>
    <col min="1" max="1" width="8" style="164" customWidth="1"/>
    <col min="2" max="2" width="66.28515625" style="165" customWidth="1"/>
    <col min="3" max="3" width="131.42578125" style="166" customWidth="1"/>
    <col min="4" max="5" width="10.28515625" style="157" customWidth="1"/>
    <col min="6" max="6" width="67.7109375" style="157" customWidth="1"/>
    <col min="7" max="16384" width="43.5703125" style="157"/>
  </cols>
  <sheetData>
    <row r="1" spans="1:3" ht="12.75" thickTop="1" thickBot="1">
      <c r="A1" s="960" t="s">
        <v>187</v>
      </c>
      <c r="B1" s="961"/>
      <c r="C1" s="962"/>
    </row>
    <row r="2" spans="1:3" ht="26.25" customHeight="1">
      <c r="A2" s="402"/>
      <c r="B2" s="963" t="s">
        <v>188</v>
      </c>
      <c r="C2" s="963"/>
    </row>
    <row r="3" spans="1:3" s="162" customFormat="1" ht="11.25" customHeight="1">
      <c r="A3" s="161"/>
      <c r="B3" s="963" t="s">
        <v>263</v>
      </c>
      <c r="C3" s="963"/>
    </row>
    <row r="4" spans="1:3" ht="12" customHeight="1" thickBot="1">
      <c r="A4" s="942" t="s">
        <v>267</v>
      </c>
      <c r="B4" s="943"/>
      <c r="C4" s="944"/>
    </row>
    <row r="5" spans="1:3" ht="12" thickTop="1">
      <c r="A5" s="158"/>
      <c r="B5" s="945" t="s">
        <v>189</v>
      </c>
      <c r="C5" s="946"/>
    </row>
    <row r="6" spans="1:3">
      <c r="A6" s="402"/>
      <c r="B6" s="922" t="s">
        <v>264</v>
      </c>
      <c r="C6" s="923"/>
    </row>
    <row r="7" spans="1:3">
      <c r="A7" s="402"/>
      <c r="B7" s="922" t="s">
        <v>190</v>
      </c>
      <c r="C7" s="923"/>
    </row>
    <row r="8" spans="1:3">
      <c r="A8" s="402"/>
      <c r="B8" s="922" t="s">
        <v>265</v>
      </c>
      <c r="C8" s="923"/>
    </row>
    <row r="9" spans="1:3">
      <c r="A9" s="402"/>
      <c r="B9" s="966" t="s">
        <v>266</v>
      </c>
      <c r="C9" s="967"/>
    </row>
    <row r="10" spans="1:3">
      <c r="A10" s="402"/>
      <c r="B10" s="958" t="s">
        <v>191</v>
      </c>
      <c r="C10" s="959" t="s">
        <v>191</v>
      </c>
    </row>
    <row r="11" spans="1:3">
      <c r="A11" s="402"/>
      <c r="B11" s="958" t="s">
        <v>192</v>
      </c>
      <c r="C11" s="959" t="s">
        <v>192</v>
      </c>
    </row>
    <row r="12" spans="1:3">
      <c r="A12" s="402"/>
      <c r="B12" s="958" t="s">
        <v>193</v>
      </c>
      <c r="C12" s="959" t="s">
        <v>193</v>
      </c>
    </row>
    <row r="13" spans="1:3">
      <c r="A13" s="402"/>
      <c r="B13" s="958" t="s">
        <v>194</v>
      </c>
      <c r="C13" s="959" t="s">
        <v>194</v>
      </c>
    </row>
    <row r="14" spans="1:3">
      <c r="A14" s="402"/>
      <c r="B14" s="958" t="s">
        <v>195</v>
      </c>
      <c r="C14" s="959" t="s">
        <v>195</v>
      </c>
    </row>
    <row r="15" spans="1:3" ht="21.75" customHeight="1">
      <c r="A15" s="402"/>
      <c r="B15" s="958" t="s">
        <v>196</v>
      </c>
      <c r="C15" s="959" t="s">
        <v>196</v>
      </c>
    </row>
    <row r="16" spans="1:3">
      <c r="A16" s="402"/>
      <c r="B16" s="958" t="s">
        <v>197</v>
      </c>
      <c r="C16" s="959" t="s">
        <v>198</v>
      </c>
    </row>
    <row r="17" spans="1:6">
      <c r="A17" s="402"/>
      <c r="B17" s="958" t="s">
        <v>199</v>
      </c>
      <c r="C17" s="959" t="s">
        <v>200</v>
      </c>
    </row>
    <row r="18" spans="1:6">
      <c r="A18" s="402"/>
      <c r="B18" s="958" t="s">
        <v>201</v>
      </c>
      <c r="C18" s="959" t="s">
        <v>202</v>
      </c>
    </row>
    <row r="19" spans="1:6">
      <c r="A19" s="402"/>
      <c r="B19" s="958" t="s">
        <v>203</v>
      </c>
      <c r="C19" s="959" t="s">
        <v>203</v>
      </c>
    </row>
    <row r="20" spans="1:6">
      <c r="A20" s="402"/>
      <c r="B20" s="964" t="s">
        <v>959</v>
      </c>
      <c r="C20" s="965" t="s">
        <v>204</v>
      </c>
    </row>
    <row r="21" spans="1:6">
      <c r="A21" s="402"/>
      <c r="B21" s="958" t="s">
        <v>948</v>
      </c>
      <c r="C21" s="959" t="s">
        <v>205</v>
      </c>
    </row>
    <row r="22" spans="1:6" ht="23.25" customHeight="1">
      <c r="A22" s="402"/>
      <c r="B22" s="958" t="s">
        <v>206</v>
      </c>
      <c r="C22" s="959" t="s">
        <v>207</v>
      </c>
      <c r="F22" s="639"/>
    </row>
    <row r="23" spans="1:6">
      <c r="A23" s="402"/>
      <c r="B23" s="958" t="s">
        <v>208</v>
      </c>
      <c r="C23" s="959" t="s">
        <v>208</v>
      </c>
    </row>
    <row r="24" spans="1:6">
      <c r="A24" s="402"/>
      <c r="B24" s="958" t="s">
        <v>209</v>
      </c>
      <c r="C24" s="959" t="s">
        <v>210</v>
      </c>
    </row>
    <row r="25" spans="1:6" ht="12" thickBot="1">
      <c r="A25" s="159"/>
      <c r="B25" s="952" t="s">
        <v>211</v>
      </c>
      <c r="C25" s="953"/>
    </row>
    <row r="26" spans="1:6" ht="12.75" thickTop="1" thickBot="1">
      <c r="A26" s="942" t="s">
        <v>844</v>
      </c>
      <c r="B26" s="943"/>
      <c r="C26" s="944"/>
    </row>
    <row r="27" spans="1:6" ht="12.75" thickTop="1" thickBot="1">
      <c r="A27" s="160"/>
      <c r="B27" s="954" t="s">
        <v>845</v>
      </c>
      <c r="C27" s="955"/>
    </row>
    <row r="28" spans="1:6" ht="12.75" thickTop="1" thickBot="1">
      <c r="A28" s="942" t="s">
        <v>268</v>
      </c>
      <c r="B28" s="943"/>
      <c r="C28" s="944"/>
    </row>
    <row r="29" spans="1:6" ht="12" thickTop="1">
      <c r="A29" s="158"/>
      <c r="B29" s="956" t="s">
        <v>848</v>
      </c>
      <c r="C29" s="957" t="s">
        <v>212</v>
      </c>
    </row>
    <row r="30" spans="1:6">
      <c r="A30" s="402"/>
      <c r="B30" s="947" t="s">
        <v>216</v>
      </c>
      <c r="C30" s="948" t="s">
        <v>213</v>
      </c>
    </row>
    <row r="31" spans="1:6">
      <c r="A31" s="402"/>
      <c r="B31" s="947" t="s">
        <v>846</v>
      </c>
      <c r="C31" s="948" t="s">
        <v>214</v>
      </c>
    </row>
    <row r="32" spans="1:6">
      <c r="A32" s="402"/>
      <c r="B32" s="947" t="s">
        <v>847</v>
      </c>
      <c r="C32" s="948" t="s">
        <v>215</v>
      </c>
    </row>
    <row r="33" spans="1:3">
      <c r="A33" s="402"/>
      <c r="B33" s="947" t="s">
        <v>219</v>
      </c>
      <c r="C33" s="948" t="s">
        <v>220</v>
      </c>
    </row>
    <row r="34" spans="1:3">
      <c r="A34" s="402"/>
      <c r="B34" s="947" t="s">
        <v>849</v>
      </c>
      <c r="C34" s="948" t="s">
        <v>217</v>
      </c>
    </row>
    <row r="35" spans="1:3">
      <c r="A35" s="402"/>
      <c r="B35" s="947" t="s">
        <v>850</v>
      </c>
      <c r="C35" s="948" t="s">
        <v>218</v>
      </c>
    </row>
    <row r="36" spans="1:3">
      <c r="A36" s="402"/>
      <c r="B36" s="949" t="s">
        <v>851</v>
      </c>
      <c r="C36" s="950"/>
    </row>
    <row r="37" spans="1:3" ht="24.75" customHeight="1">
      <c r="A37" s="402"/>
      <c r="B37" s="947" t="s">
        <v>852</v>
      </c>
      <c r="C37" s="948" t="s">
        <v>221</v>
      </c>
    </row>
    <row r="38" spans="1:3" ht="23.25" customHeight="1">
      <c r="A38" s="402"/>
      <c r="B38" s="947" t="s">
        <v>853</v>
      </c>
      <c r="C38" s="948" t="s">
        <v>222</v>
      </c>
    </row>
    <row r="39" spans="1:3" ht="23.25" customHeight="1">
      <c r="A39" s="469"/>
      <c r="B39" s="949" t="s">
        <v>854</v>
      </c>
      <c r="C39" s="951"/>
    </row>
    <row r="40" spans="1:3" ht="12" customHeight="1">
      <c r="A40" s="402"/>
      <c r="B40" s="947" t="s">
        <v>855</v>
      </c>
      <c r="C40" s="948"/>
    </row>
    <row r="41" spans="1:3" ht="12" thickBot="1">
      <c r="A41" s="942" t="s">
        <v>269</v>
      </c>
      <c r="B41" s="943"/>
      <c r="C41" s="944"/>
    </row>
    <row r="42" spans="1:3" ht="12" thickTop="1">
      <c r="A42" s="158"/>
      <c r="B42" s="945" t="s">
        <v>299</v>
      </c>
      <c r="C42" s="946" t="s">
        <v>223</v>
      </c>
    </row>
    <row r="43" spans="1:3">
      <c r="A43" s="402"/>
      <c r="B43" s="922" t="s">
        <v>298</v>
      </c>
      <c r="C43" s="923"/>
    </row>
    <row r="44" spans="1:3" ht="23.25" customHeight="1" thickBot="1">
      <c r="A44" s="159"/>
      <c r="B44" s="940" t="s">
        <v>224</v>
      </c>
      <c r="C44" s="941" t="s">
        <v>225</v>
      </c>
    </row>
    <row r="45" spans="1:3" ht="11.25" customHeight="1" thickTop="1" thickBot="1">
      <c r="A45" s="942" t="s">
        <v>270</v>
      </c>
      <c r="B45" s="943"/>
      <c r="C45" s="944"/>
    </row>
    <row r="46" spans="1:3" ht="26.25" customHeight="1" thickTop="1">
      <c r="A46" s="402"/>
      <c r="B46" s="922" t="s">
        <v>271</v>
      </c>
      <c r="C46" s="923"/>
    </row>
    <row r="47" spans="1:3" ht="12" thickBot="1">
      <c r="A47" s="942" t="s">
        <v>272</v>
      </c>
      <c r="B47" s="943"/>
      <c r="C47" s="944"/>
    </row>
    <row r="48" spans="1:3" ht="12" thickTop="1">
      <c r="A48" s="158"/>
      <c r="B48" s="945" t="s">
        <v>226</v>
      </c>
      <c r="C48" s="946" t="s">
        <v>226</v>
      </c>
    </row>
    <row r="49" spans="1:3" ht="11.25" customHeight="1">
      <c r="A49" s="402"/>
      <c r="B49" s="922" t="s">
        <v>227</v>
      </c>
      <c r="C49" s="923" t="s">
        <v>227</v>
      </c>
    </row>
    <row r="50" spans="1:3">
      <c r="A50" s="402"/>
      <c r="B50" s="922" t="s">
        <v>228</v>
      </c>
      <c r="C50" s="923" t="s">
        <v>228</v>
      </c>
    </row>
    <row r="51" spans="1:3" ht="11.25" customHeight="1">
      <c r="A51" s="402"/>
      <c r="B51" s="922" t="s">
        <v>857</v>
      </c>
      <c r="C51" s="923" t="s">
        <v>229</v>
      </c>
    </row>
    <row r="52" spans="1:3" ht="33.6" customHeight="1">
      <c r="A52" s="402"/>
      <c r="B52" s="922" t="s">
        <v>230</v>
      </c>
      <c r="C52" s="923" t="s">
        <v>230</v>
      </c>
    </row>
    <row r="53" spans="1:3" ht="11.25" customHeight="1">
      <c r="A53" s="402"/>
      <c r="B53" s="922" t="s">
        <v>319</v>
      </c>
      <c r="C53" s="923" t="s">
        <v>231</v>
      </c>
    </row>
    <row r="54" spans="1:3" ht="11.25" customHeight="1" thickBot="1">
      <c r="A54" s="942" t="s">
        <v>273</v>
      </c>
      <c r="B54" s="943"/>
      <c r="C54" s="944"/>
    </row>
    <row r="55" spans="1:3" ht="12" thickTop="1">
      <c r="A55" s="158"/>
      <c r="B55" s="945" t="s">
        <v>226</v>
      </c>
      <c r="C55" s="946" t="s">
        <v>226</v>
      </c>
    </row>
    <row r="56" spans="1:3">
      <c r="A56" s="402"/>
      <c r="B56" s="922" t="s">
        <v>232</v>
      </c>
      <c r="C56" s="923" t="s">
        <v>232</v>
      </c>
    </row>
    <row r="57" spans="1:3">
      <c r="A57" s="402"/>
      <c r="B57" s="922" t="s">
        <v>276</v>
      </c>
      <c r="C57" s="923" t="s">
        <v>233</v>
      </c>
    </row>
    <row r="58" spans="1:3">
      <c r="A58" s="402"/>
      <c r="B58" s="922" t="s">
        <v>234</v>
      </c>
      <c r="C58" s="923" t="s">
        <v>234</v>
      </c>
    </row>
    <row r="59" spans="1:3">
      <c r="A59" s="402"/>
      <c r="B59" s="922" t="s">
        <v>235</v>
      </c>
      <c r="C59" s="923" t="s">
        <v>235</v>
      </c>
    </row>
    <row r="60" spans="1:3">
      <c r="A60" s="402"/>
      <c r="B60" s="922" t="s">
        <v>236</v>
      </c>
      <c r="C60" s="923" t="s">
        <v>236</v>
      </c>
    </row>
    <row r="61" spans="1:3">
      <c r="A61" s="402"/>
      <c r="B61" s="922" t="s">
        <v>277</v>
      </c>
      <c r="C61" s="923" t="s">
        <v>237</v>
      </c>
    </row>
    <row r="62" spans="1:3">
      <c r="A62" s="402"/>
      <c r="B62" s="922" t="s">
        <v>238</v>
      </c>
      <c r="C62" s="923" t="s">
        <v>238</v>
      </c>
    </row>
    <row r="63" spans="1:3" ht="12" thickBot="1">
      <c r="A63" s="159"/>
      <c r="B63" s="940" t="s">
        <v>239</v>
      </c>
      <c r="C63" s="941" t="s">
        <v>239</v>
      </c>
    </row>
    <row r="64" spans="1:3" ht="11.25" customHeight="1" thickTop="1">
      <c r="A64" s="928" t="s">
        <v>274</v>
      </c>
      <c r="B64" s="929"/>
      <c r="C64" s="930"/>
    </row>
    <row r="65" spans="1:3" ht="12" thickBot="1">
      <c r="A65" s="159"/>
      <c r="B65" s="940" t="s">
        <v>240</v>
      </c>
      <c r="C65" s="941" t="s">
        <v>240</v>
      </c>
    </row>
    <row r="66" spans="1:3" ht="11.25" customHeight="1" thickTop="1" thickBot="1">
      <c r="A66" s="942" t="s">
        <v>275</v>
      </c>
      <c r="B66" s="943"/>
      <c r="C66" s="944"/>
    </row>
    <row r="67" spans="1:3" ht="12" thickTop="1">
      <c r="A67" s="158"/>
      <c r="B67" s="945" t="s">
        <v>241</v>
      </c>
      <c r="C67" s="946" t="s">
        <v>241</v>
      </c>
    </row>
    <row r="68" spans="1:3">
      <c r="A68" s="402"/>
      <c r="B68" s="922" t="s">
        <v>859</v>
      </c>
      <c r="C68" s="923" t="s">
        <v>242</v>
      </c>
    </row>
    <row r="69" spans="1:3">
      <c r="A69" s="402"/>
      <c r="B69" s="922" t="s">
        <v>243</v>
      </c>
      <c r="C69" s="923" t="s">
        <v>243</v>
      </c>
    </row>
    <row r="70" spans="1:3" ht="55.15" customHeight="1">
      <c r="A70" s="402"/>
      <c r="B70" s="938" t="s">
        <v>688</v>
      </c>
      <c r="C70" s="939" t="s">
        <v>244</v>
      </c>
    </row>
    <row r="71" spans="1:3" ht="33.75" customHeight="1">
      <c r="A71" s="402"/>
      <c r="B71" s="938" t="s">
        <v>278</v>
      </c>
      <c r="C71" s="939" t="s">
        <v>245</v>
      </c>
    </row>
    <row r="72" spans="1:3" ht="15.75" customHeight="1">
      <c r="A72" s="402"/>
      <c r="B72" s="938" t="s">
        <v>860</v>
      </c>
      <c r="C72" s="939" t="s">
        <v>246</v>
      </c>
    </row>
    <row r="73" spans="1:3">
      <c r="A73" s="402"/>
      <c r="B73" s="922" t="s">
        <v>247</v>
      </c>
      <c r="C73" s="923" t="s">
        <v>247</v>
      </c>
    </row>
    <row r="74" spans="1:3" ht="12" thickBot="1">
      <c r="A74" s="159"/>
      <c r="B74" s="940" t="s">
        <v>248</v>
      </c>
      <c r="C74" s="941" t="s">
        <v>248</v>
      </c>
    </row>
    <row r="75" spans="1:3" ht="12" thickTop="1">
      <c r="A75" s="928" t="s">
        <v>302</v>
      </c>
      <c r="B75" s="929"/>
      <c r="C75" s="930"/>
    </row>
    <row r="76" spans="1:3">
      <c r="A76" s="402"/>
      <c r="B76" s="922" t="s">
        <v>240</v>
      </c>
      <c r="C76" s="923"/>
    </row>
    <row r="77" spans="1:3">
      <c r="A77" s="402"/>
      <c r="B77" s="922" t="s">
        <v>300</v>
      </c>
      <c r="C77" s="923"/>
    </row>
    <row r="78" spans="1:3">
      <c r="A78" s="402"/>
      <c r="B78" s="922" t="s">
        <v>301</v>
      </c>
      <c r="C78" s="923"/>
    </row>
    <row r="79" spans="1:3">
      <c r="A79" s="928" t="s">
        <v>303</v>
      </c>
      <c r="B79" s="929"/>
      <c r="C79" s="930"/>
    </row>
    <row r="80" spans="1:3">
      <c r="A80" s="402"/>
      <c r="B80" s="922" t="s">
        <v>240</v>
      </c>
      <c r="C80" s="923"/>
    </row>
    <row r="81" spans="1:3">
      <c r="A81" s="402"/>
      <c r="B81" s="922" t="s">
        <v>304</v>
      </c>
      <c r="C81" s="923"/>
    </row>
    <row r="82" spans="1:3" ht="79.5" customHeight="1">
      <c r="A82" s="402"/>
      <c r="B82" s="922" t="s">
        <v>318</v>
      </c>
      <c r="C82" s="923"/>
    </row>
    <row r="83" spans="1:3" ht="53.25" customHeight="1">
      <c r="A83" s="402"/>
      <c r="B83" s="922" t="s">
        <v>317</v>
      </c>
      <c r="C83" s="923"/>
    </row>
    <row r="84" spans="1:3">
      <c r="A84" s="402"/>
      <c r="B84" s="922" t="s">
        <v>305</v>
      </c>
      <c r="C84" s="923"/>
    </row>
    <row r="85" spans="1:3">
      <c r="A85" s="402"/>
      <c r="B85" s="922" t="s">
        <v>306</v>
      </c>
      <c r="C85" s="923"/>
    </row>
    <row r="86" spans="1:3">
      <c r="A86" s="402"/>
      <c r="B86" s="922" t="s">
        <v>307</v>
      </c>
      <c r="C86" s="923"/>
    </row>
    <row r="87" spans="1:3">
      <c r="A87" s="928" t="s">
        <v>308</v>
      </c>
      <c r="B87" s="929"/>
      <c r="C87" s="930"/>
    </row>
    <row r="88" spans="1:3">
      <c r="A88" s="402"/>
      <c r="B88" s="922" t="s">
        <v>240</v>
      </c>
      <c r="C88" s="923"/>
    </row>
    <row r="89" spans="1:3">
      <c r="A89" s="402"/>
      <c r="B89" s="922" t="s">
        <v>310</v>
      </c>
      <c r="C89" s="923"/>
    </row>
    <row r="90" spans="1:3" ht="12" customHeight="1">
      <c r="A90" s="402"/>
      <c r="B90" s="922" t="s">
        <v>311</v>
      </c>
      <c r="C90" s="923"/>
    </row>
    <row r="91" spans="1:3">
      <c r="A91" s="402"/>
      <c r="B91" s="922" t="s">
        <v>312</v>
      </c>
      <c r="C91" s="923"/>
    </row>
    <row r="92" spans="1:3" ht="24.75" customHeight="1">
      <c r="A92" s="402"/>
      <c r="B92" s="931" t="s">
        <v>348</v>
      </c>
      <c r="C92" s="932"/>
    </row>
    <row r="93" spans="1:3" ht="24" customHeight="1">
      <c r="A93" s="402"/>
      <c r="B93" s="931" t="s">
        <v>349</v>
      </c>
      <c r="C93" s="932"/>
    </row>
    <row r="94" spans="1:3" ht="13.5" customHeight="1">
      <c r="A94" s="402"/>
      <c r="B94" s="933" t="s">
        <v>313</v>
      </c>
      <c r="C94" s="934"/>
    </row>
    <row r="95" spans="1:3" ht="11.25" customHeight="1" thickBot="1">
      <c r="A95" s="935" t="s">
        <v>344</v>
      </c>
      <c r="B95" s="936"/>
      <c r="C95" s="937"/>
    </row>
    <row r="96" spans="1:3" ht="12.75" thickTop="1" thickBot="1">
      <c r="A96" s="927" t="s">
        <v>249</v>
      </c>
      <c r="B96" s="927"/>
      <c r="C96" s="927"/>
    </row>
    <row r="97" spans="1:3">
      <c r="A97" s="236">
        <v>2</v>
      </c>
      <c r="B97" s="387" t="s">
        <v>324</v>
      </c>
      <c r="C97" s="387" t="s">
        <v>345</v>
      </c>
    </row>
    <row r="98" spans="1:3">
      <c r="A98" s="163">
        <v>3</v>
      </c>
      <c r="B98" s="388" t="s">
        <v>325</v>
      </c>
      <c r="C98" s="389" t="s">
        <v>346</v>
      </c>
    </row>
    <row r="99" spans="1:3">
      <c r="A99" s="163">
        <v>4</v>
      </c>
      <c r="B99" s="388" t="s">
        <v>326</v>
      </c>
      <c r="C99" s="389" t="s">
        <v>350</v>
      </c>
    </row>
    <row r="100" spans="1:3" ht="11.25" customHeight="1">
      <c r="A100" s="163">
        <v>5</v>
      </c>
      <c r="B100" s="388" t="s">
        <v>327</v>
      </c>
      <c r="C100" s="389" t="s">
        <v>347</v>
      </c>
    </row>
    <row r="101" spans="1:3" ht="12" customHeight="1">
      <c r="A101" s="163">
        <v>6</v>
      </c>
      <c r="B101" s="388" t="s">
        <v>342</v>
      </c>
      <c r="C101" s="389" t="s">
        <v>328</v>
      </c>
    </row>
    <row r="102" spans="1:3" ht="12" customHeight="1">
      <c r="A102" s="163">
        <v>7</v>
      </c>
      <c r="B102" s="388" t="s">
        <v>329</v>
      </c>
      <c r="C102" s="389" t="s">
        <v>343</v>
      </c>
    </row>
    <row r="103" spans="1:3">
      <c r="A103" s="163">
        <v>8</v>
      </c>
      <c r="B103" s="388" t="s">
        <v>334</v>
      </c>
      <c r="C103" s="389" t="s">
        <v>354</v>
      </c>
    </row>
    <row r="104" spans="1:3" ht="11.25" customHeight="1">
      <c r="A104" s="928" t="s">
        <v>314</v>
      </c>
      <c r="B104" s="929"/>
      <c r="C104" s="930"/>
    </row>
    <row r="105" spans="1:3" ht="12" customHeight="1">
      <c r="A105" s="402"/>
      <c r="B105" s="922" t="s">
        <v>240</v>
      </c>
      <c r="C105" s="923"/>
    </row>
    <row r="106" spans="1:3">
      <c r="A106" s="928" t="s">
        <v>489</v>
      </c>
      <c r="B106" s="929"/>
      <c r="C106" s="930"/>
    </row>
    <row r="107" spans="1:3" ht="12" customHeight="1">
      <c r="A107" s="402"/>
      <c r="B107" s="922" t="s">
        <v>491</v>
      </c>
      <c r="C107" s="923"/>
    </row>
    <row r="108" spans="1:3">
      <c r="A108" s="402"/>
      <c r="B108" s="922" t="s">
        <v>492</v>
      </c>
      <c r="C108" s="923"/>
    </row>
    <row r="109" spans="1:3">
      <c r="A109" s="402"/>
      <c r="B109" s="922" t="s">
        <v>490</v>
      </c>
      <c r="C109" s="923"/>
    </row>
    <row r="110" spans="1:3">
      <c r="A110" s="919" t="s">
        <v>724</v>
      </c>
      <c r="B110" s="919"/>
      <c r="C110" s="919"/>
    </row>
    <row r="111" spans="1:3">
      <c r="A111" s="924" t="s">
        <v>187</v>
      </c>
      <c r="B111" s="924"/>
      <c r="C111" s="924"/>
    </row>
    <row r="112" spans="1:3">
      <c r="A112" s="617">
        <v>1</v>
      </c>
      <c r="B112" s="909" t="s">
        <v>607</v>
      </c>
      <c r="C112" s="910"/>
    </row>
    <row r="113" spans="1:3">
      <c r="A113" s="617">
        <v>2</v>
      </c>
      <c r="B113" s="925" t="s">
        <v>608</v>
      </c>
      <c r="C113" s="926"/>
    </row>
    <row r="114" spans="1:3">
      <c r="A114" s="617">
        <v>3</v>
      </c>
      <c r="B114" s="909" t="s">
        <v>934</v>
      </c>
      <c r="C114" s="910"/>
    </row>
    <row r="115" spans="1:3">
      <c r="A115" s="617">
        <v>4</v>
      </c>
      <c r="B115" s="909" t="s">
        <v>933</v>
      </c>
      <c r="C115" s="910"/>
    </row>
    <row r="116" spans="1:3">
      <c r="A116" s="617">
        <v>5</v>
      </c>
      <c r="B116" s="621" t="s">
        <v>932</v>
      </c>
      <c r="C116" s="620"/>
    </row>
    <row r="117" spans="1:3">
      <c r="A117" s="617">
        <v>6</v>
      </c>
      <c r="B117" s="909" t="s">
        <v>946</v>
      </c>
      <c r="C117" s="910"/>
    </row>
    <row r="118" spans="1:3" ht="48.4" customHeight="1">
      <c r="A118" s="617">
        <v>7</v>
      </c>
      <c r="B118" s="909" t="s">
        <v>947</v>
      </c>
      <c r="C118" s="910"/>
    </row>
    <row r="119" spans="1:3">
      <c r="A119" s="591">
        <v>8</v>
      </c>
      <c r="B119" s="588" t="s">
        <v>634</v>
      </c>
      <c r="C119" s="614" t="s">
        <v>931</v>
      </c>
    </row>
    <row r="120" spans="1:3" ht="22.5">
      <c r="A120" s="617">
        <v>9.01</v>
      </c>
      <c r="B120" s="588" t="s">
        <v>518</v>
      </c>
      <c r="C120" s="601" t="s">
        <v>683</v>
      </c>
    </row>
    <row r="121" spans="1:3" ht="33.75">
      <c r="A121" s="617">
        <v>9.02</v>
      </c>
      <c r="B121" s="588" t="s">
        <v>519</v>
      </c>
      <c r="C121" s="601" t="s">
        <v>686</v>
      </c>
    </row>
    <row r="122" spans="1:3">
      <c r="A122" s="617">
        <v>9.0299999999999994</v>
      </c>
      <c r="B122" s="604" t="s">
        <v>868</v>
      </c>
      <c r="C122" s="604" t="s">
        <v>609</v>
      </c>
    </row>
    <row r="123" spans="1:3">
      <c r="A123" s="617">
        <v>9.0399999999999991</v>
      </c>
      <c r="B123" s="588" t="s">
        <v>520</v>
      </c>
      <c r="C123" s="604" t="s">
        <v>610</v>
      </c>
    </row>
    <row r="124" spans="1:3">
      <c r="A124" s="617">
        <v>9.0500000000000007</v>
      </c>
      <c r="B124" s="588" t="s">
        <v>521</v>
      </c>
      <c r="C124" s="604" t="s">
        <v>611</v>
      </c>
    </row>
    <row r="125" spans="1:3" ht="22.5">
      <c r="A125" s="617">
        <v>9.06</v>
      </c>
      <c r="B125" s="588" t="s">
        <v>522</v>
      </c>
      <c r="C125" s="604" t="s">
        <v>612</v>
      </c>
    </row>
    <row r="126" spans="1:3">
      <c r="A126" s="617">
        <v>9.07</v>
      </c>
      <c r="B126" s="619" t="s">
        <v>523</v>
      </c>
      <c r="C126" s="604" t="s">
        <v>613</v>
      </c>
    </row>
    <row r="127" spans="1:3" ht="22.5">
      <c r="A127" s="617">
        <v>9.08</v>
      </c>
      <c r="B127" s="588" t="s">
        <v>524</v>
      </c>
      <c r="C127" s="604" t="s">
        <v>614</v>
      </c>
    </row>
    <row r="128" spans="1:3" ht="22.5">
      <c r="A128" s="617">
        <v>9.09</v>
      </c>
      <c r="B128" s="588" t="s">
        <v>525</v>
      </c>
      <c r="C128" s="604" t="s">
        <v>615</v>
      </c>
    </row>
    <row r="129" spans="1:3">
      <c r="A129" s="618">
        <v>9.1</v>
      </c>
      <c r="B129" s="588" t="s">
        <v>526</v>
      </c>
      <c r="C129" s="604" t="s">
        <v>616</v>
      </c>
    </row>
    <row r="130" spans="1:3">
      <c r="A130" s="617">
        <v>9.11</v>
      </c>
      <c r="B130" s="588" t="s">
        <v>527</v>
      </c>
      <c r="C130" s="604" t="s">
        <v>617</v>
      </c>
    </row>
    <row r="131" spans="1:3">
      <c r="A131" s="617">
        <v>9.1199999999999992</v>
      </c>
      <c r="B131" s="588" t="s">
        <v>528</v>
      </c>
      <c r="C131" s="604" t="s">
        <v>618</v>
      </c>
    </row>
    <row r="132" spans="1:3">
      <c r="A132" s="617">
        <v>9.1300000000000008</v>
      </c>
      <c r="B132" s="588" t="s">
        <v>529</v>
      </c>
      <c r="C132" s="604" t="s">
        <v>619</v>
      </c>
    </row>
    <row r="133" spans="1:3">
      <c r="A133" s="617">
        <v>9.14</v>
      </c>
      <c r="B133" s="588" t="s">
        <v>530</v>
      </c>
      <c r="C133" s="604" t="s">
        <v>620</v>
      </c>
    </row>
    <row r="134" spans="1:3">
      <c r="A134" s="617">
        <v>9.15</v>
      </c>
      <c r="B134" s="588" t="s">
        <v>531</v>
      </c>
      <c r="C134" s="604" t="s">
        <v>621</v>
      </c>
    </row>
    <row r="135" spans="1:3" ht="22.5">
      <c r="A135" s="617">
        <v>9.16</v>
      </c>
      <c r="B135" s="588" t="s">
        <v>532</v>
      </c>
      <c r="C135" s="604" t="s">
        <v>622</v>
      </c>
    </row>
    <row r="136" spans="1:3">
      <c r="A136" s="617">
        <v>9.17</v>
      </c>
      <c r="B136" s="604" t="s">
        <v>533</v>
      </c>
      <c r="C136" s="604" t="s">
        <v>623</v>
      </c>
    </row>
    <row r="137" spans="1:3" ht="22.5">
      <c r="A137" s="617">
        <v>9.18</v>
      </c>
      <c r="B137" s="588" t="s">
        <v>534</v>
      </c>
      <c r="C137" s="604" t="s">
        <v>624</v>
      </c>
    </row>
    <row r="138" spans="1:3">
      <c r="A138" s="617">
        <v>9.19</v>
      </c>
      <c r="B138" s="588" t="s">
        <v>535</v>
      </c>
      <c r="C138" s="604" t="s">
        <v>625</v>
      </c>
    </row>
    <row r="139" spans="1:3">
      <c r="A139" s="618">
        <v>9.1999999999999993</v>
      </c>
      <c r="B139" s="588" t="s">
        <v>536</v>
      </c>
      <c r="C139" s="604" t="s">
        <v>626</v>
      </c>
    </row>
    <row r="140" spans="1:3">
      <c r="A140" s="617">
        <v>9.2100000000000009</v>
      </c>
      <c r="B140" s="588" t="s">
        <v>537</v>
      </c>
      <c r="C140" s="604" t="s">
        <v>627</v>
      </c>
    </row>
    <row r="141" spans="1:3">
      <c r="A141" s="617">
        <v>9.2200000000000006</v>
      </c>
      <c r="B141" s="588" t="s">
        <v>538</v>
      </c>
      <c r="C141" s="604" t="s">
        <v>628</v>
      </c>
    </row>
    <row r="142" spans="1:3" ht="22.5">
      <c r="A142" s="617">
        <v>9.23</v>
      </c>
      <c r="B142" s="588" t="s">
        <v>539</v>
      </c>
      <c r="C142" s="604" t="s">
        <v>629</v>
      </c>
    </row>
    <row r="143" spans="1:3" ht="22.5">
      <c r="A143" s="617">
        <v>9.24</v>
      </c>
      <c r="B143" s="588" t="s">
        <v>540</v>
      </c>
      <c r="C143" s="604" t="s">
        <v>630</v>
      </c>
    </row>
    <row r="144" spans="1:3">
      <c r="A144" s="617">
        <v>9.2500000000000107</v>
      </c>
      <c r="B144" s="588" t="s">
        <v>541</v>
      </c>
      <c r="C144" s="604" t="s">
        <v>631</v>
      </c>
    </row>
    <row r="145" spans="1:3" ht="22.5">
      <c r="A145" s="617">
        <v>9.2600000000000193</v>
      </c>
      <c r="B145" s="588" t="s">
        <v>632</v>
      </c>
      <c r="C145" s="616" t="s">
        <v>633</v>
      </c>
    </row>
    <row r="146" spans="1:3" s="403" customFormat="1" ht="22.5">
      <c r="A146" s="617">
        <v>9.2700000000000298</v>
      </c>
      <c r="B146" s="588" t="s">
        <v>99</v>
      </c>
      <c r="C146" s="616" t="s">
        <v>684</v>
      </c>
    </row>
    <row r="147" spans="1:3" s="403" customFormat="1" ht="15">
      <c r="A147" s="592"/>
      <c r="B147" s="905" t="s">
        <v>635</v>
      </c>
      <c r="C147" s="906"/>
    </row>
    <row r="148" spans="1:3" s="403" customFormat="1" ht="15">
      <c r="A148" s="591">
        <v>1</v>
      </c>
      <c r="B148" s="911" t="s">
        <v>930</v>
      </c>
      <c r="C148" s="912"/>
    </row>
    <row r="149" spans="1:3" s="403" customFormat="1" ht="15">
      <c r="A149" s="591">
        <v>2</v>
      </c>
      <c r="B149" s="911" t="s">
        <v>685</v>
      </c>
      <c r="C149" s="912"/>
    </row>
    <row r="150" spans="1:3" s="403" customFormat="1" ht="15">
      <c r="A150" s="591">
        <v>3</v>
      </c>
      <c r="B150" s="911" t="s">
        <v>682</v>
      </c>
      <c r="C150" s="912"/>
    </row>
    <row r="151" spans="1:3" s="403" customFormat="1" ht="15">
      <c r="A151" s="592"/>
      <c r="B151" s="905" t="s">
        <v>636</v>
      </c>
      <c r="C151" s="906"/>
    </row>
    <row r="152" spans="1:3" s="403" customFormat="1" ht="15">
      <c r="A152" s="591">
        <v>1</v>
      </c>
      <c r="B152" s="913" t="s">
        <v>929</v>
      </c>
      <c r="C152" s="914"/>
    </row>
    <row r="153" spans="1:3" s="403" customFormat="1" ht="15">
      <c r="A153" s="591">
        <v>2</v>
      </c>
      <c r="B153" s="588" t="s">
        <v>866</v>
      </c>
      <c r="C153" s="614" t="s">
        <v>951</v>
      </c>
    </row>
    <row r="154" spans="1:3" ht="22.5">
      <c r="A154" s="591">
        <v>3</v>
      </c>
      <c r="B154" s="588" t="s">
        <v>865</v>
      </c>
      <c r="C154" s="614" t="s">
        <v>928</v>
      </c>
    </row>
    <row r="155" spans="1:3">
      <c r="A155" s="591">
        <v>4</v>
      </c>
      <c r="B155" s="588" t="s">
        <v>511</v>
      </c>
      <c r="C155" s="588" t="s">
        <v>952</v>
      </c>
    </row>
    <row r="156" spans="1:3" ht="25.15" customHeight="1">
      <c r="A156" s="592"/>
      <c r="B156" s="905" t="s">
        <v>637</v>
      </c>
      <c r="C156" s="906"/>
    </row>
    <row r="157" spans="1:3" ht="37.5">
      <c r="A157" s="591"/>
      <c r="B157" s="588" t="s">
        <v>917</v>
      </c>
      <c r="C157" s="593" t="s">
        <v>953</v>
      </c>
    </row>
    <row r="158" spans="1:3">
      <c r="A158" s="592"/>
      <c r="B158" s="905" t="s">
        <v>638</v>
      </c>
      <c r="C158" s="906"/>
    </row>
    <row r="159" spans="1:3" ht="39" customHeight="1">
      <c r="A159" s="592"/>
      <c r="B159" s="907" t="s">
        <v>927</v>
      </c>
      <c r="C159" s="908"/>
    </row>
    <row r="160" spans="1:3">
      <c r="A160" s="592" t="s">
        <v>639</v>
      </c>
      <c r="B160" s="615" t="s">
        <v>549</v>
      </c>
      <c r="C160" s="606" t="s">
        <v>640</v>
      </c>
    </row>
    <row r="161" spans="1:3">
      <c r="A161" s="592" t="s">
        <v>369</v>
      </c>
      <c r="B161" s="612" t="s">
        <v>550</v>
      </c>
      <c r="C161" s="614" t="s">
        <v>926</v>
      </c>
    </row>
    <row r="162" spans="1:3" ht="22.5">
      <c r="A162" s="592" t="s">
        <v>376</v>
      </c>
      <c r="B162" s="606" t="s">
        <v>551</v>
      </c>
      <c r="C162" s="614" t="s">
        <v>641</v>
      </c>
    </row>
    <row r="163" spans="1:3">
      <c r="A163" s="592" t="s">
        <v>642</v>
      </c>
      <c r="B163" s="612" t="s">
        <v>552</v>
      </c>
      <c r="C163" s="613" t="s">
        <v>643</v>
      </c>
    </row>
    <row r="164" spans="1:3" ht="22.5">
      <c r="A164" s="592" t="s">
        <v>644</v>
      </c>
      <c r="B164" s="612" t="s">
        <v>881</v>
      </c>
      <c r="C164" s="611" t="s">
        <v>925</v>
      </c>
    </row>
    <row r="165" spans="1:3" ht="22.5">
      <c r="A165" s="592" t="s">
        <v>377</v>
      </c>
      <c r="B165" s="612" t="s">
        <v>553</v>
      </c>
      <c r="C165" s="611" t="s">
        <v>646</v>
      </c>
    </row>
    <row r="166" spans="1:3" ht="22.5">
      <c r="A166" s="592" t="s">
        <v>645</v>
      </c>
      <c r="B166" s="609" t="s">
        <v>556</v>
      </c>
      <c r="C166" s="610" t="s">
        <v>653</v>
      </c>
    </row>
    <row r="167" spans="1:3" ht="22.5">
      <c r="A167" s="592" t="s">
        <v>647</v>
      </c>
      <c r="B167" s="609" t="s">
        <v>554</v>
      </c>
      <c r="C167" s="611" t="s">
        <v>649</v>
      </c>
    </row>
    <row r="168" spans="1:3" ht="26.65" customHeight="1">
      <c r="A168" s="592" t="s">
        <v>648</v>
      </c>
      <c r="B168" s="609" t="s">
        <v>555</v>
      </c>
      <c r="C168" s="610" t="s">
        <v>651</v>
      </c>
    </row>
    <row r="169" spans="1:3" ht="22.5">
      <c r="A169" s="592" t="s">
        <v>650</v>
      </c>
      <c r="B169" s="586" t="s">
        <v>557</v>
      </c>
      <c r="C169" s="610" t="s">
        <v>655</v>
      </c>
    </row>
    <row r="170" spans="1:3" ht="22.5">
      <c r="A170" s="592" t="s">
        <v>652</v>
      </c>
      <c r="B170" s="609" t="s">
        <v>558</v>
      </c>
      <c r="C170" s="608" t="s">
        <v>656</v>
      </c>
    </row>
    <row r="171" spans="1:3">
      <c r="A171" s="592" t="s">
        <v>654</v>
      </c>
      <c r="B171" s="607" t="s">
        <v>559</v>
      </c>
      <c r="C171" s="606" t="s">
        <v>657</v>
      </c>
    </row>
    <row r="172" spans="1:3" ht="41.25">
      <c r="A172" s="592"/>
      <c r="B172" s="605" t="s">
        <v>924</v>
      </c>
      <c r="C172" s="604" t="s">
        <v>658</v>
      </c>
    </row>
    <row r="173" spans="1:3" ht="26.25">
      <c r="A173" s="592"/>
      <c r="B173" s="605" t="s">
        <v>923</v>
      </c>
      <c r="C173" s="604" t="s">
        <v>659</v>
      </c>
    </row>
    <row r="174" spans="1:3" ht="26.25">
      <c r="A174" s="592"/>
      <c r="B174" s="605" t="s">
        <v>922</v>
      </c>
      <c r="C174" s="604" t="s">
        <v>660</v>
      </c>
    </row>
    <row r="175" spans="1:3">
      <c r="A175" s="592"/>
      <c r="B175" s="905" t="s">
        <v>661</v>
      </c>
      <c r="C175" s="906"/>
    </row>
    <row r="176" spans="1:3">
      <c r="A176" s="592"/>
      <c r="B176" s="911" t="s">
        <v>921</v>
      </c>
      <c r="C176" s="912"/>
    </row>
    <row r="177" spans="1:3">
      <c r="A177" s="591">
        <v>1</v>
      </c>
      <c r="B177" s="604" t="s">
        <v>563</v>
      </c>
      <c r="C177" s="604" t="s">
        <v>563</v>
      </c>
    </row>
    <row r="178" spans="1:3" ht="33.75">
      <c r="A178" s="591">
        <v>2</v>
      </c>
      <c r="B178" s="604" t="s">
        <v>662</v>
      </c>
      <c r="C178" s="604" t="s">
        <v>663</v>
      </c>
    </row>
    <row r="179" spans="1:3">
      <c r="A179" s="591">
        <v>3</v>
      </c>
      <c r="B179" s="604" t="s">
        <v>565</v>
      </c>
      <c r="C179" s="604" t="s">
        <v>664</v>
      </c>
    </row>
    <row r="180" spans="1:3" ht="22.5">
      <c r="A180" s="591">
        <v>4</v>
      </c>
      <c r="B180" s="604" t="s">
        <v>566</v>
      </c>
      <c r="C180" s="604" t="s">
        <v>665</v>
      </c>
    </row>
    <row r="181" spans="1:3" ht="22.5">
      <c r="A181" s="591">
        <v>5</v>
      </c>
      <c r="B181" s="604" t="s">
        <v>567</v>
      </c>
      <c r="C181" s="604" t="s">
        <v>687</v>
      </c>
    </row>
    <row r="182" spans="1:3" ht="45">
      <c r="A182" s="591">
        <v>6</v>
      </c>
      <c r="B182" s="604" t="s">
        <v>568</v>
      </c>
      <c r="C182" s="604" t="s">
        <v>666</v>
      </c>
    </row>
    <row r="183" spans="1:3">
      <c r="A183" s="592"/>
      <c r="B183" s="905" t="s">
        <v>667</v>
      </c>
      <c r="C183" s="906"/>
    </row>
    <row r="184" spans="1:3">
      <c r="A184" s="592"/>
      <c r="B184" s="916" t="s">
        <v>920</v>
      </c>
      <c r="C184" s="917"/>
    </row>
    <row r="185" spans="1:3" ht="22.5">
      <c r="A185" s="592">
        <v>1.1000000000000001</v>
      </c>
      <c r="B185" s="603" t="s">
        <v>573</v>
      </c>
      <c r="C185" s="601" t="s">
        <v>668</v>
      </c>
    </row>
    <row r="186" spans="1:3" ht="49.9" customHeight="1">
      <c r="A186" s="592" t="s">
        <v>157</v>
      </c>
      <c r="B186" s="587" t="s">
        <v>574</v>
      </c>
      <c r="C186" s="601" t="s">
        <v>669</v>
      </c>
    </row>
    <row r="187" spans="1:3">
      <c r="A187" s="592" t="s">
        <v>575</v>
      </c>
      <c r="B187" s="602" t="s">
        <v>576</v>
      </c>
      <c r="C187" s="918" t="s">
        <v>919</v>
      </c>
    </row>
    <row r="188" spans="1:3">
      <c r="A188" s="592" t="s">
        <v>577</v>
      </c>
      <c r="B188" s="602" t="s">
        <v>578</v>
      </c>
      <c r="C188" s="918"/>
    </row>
    <row r="189" spans="1:3">
      <c r="A189" s="592" t="s">
        <v>579</v>
      </c>
      <c r="B189" s="602" t="s">
        <v>580</v>
      </c>
      <c r="C189" s="918"/>
    </row>
    <row r="190" spans="1:3">
      <c r="A190" s="592" t="s">
        <v>581</v>
      </c>
      <c r="B190" s="602" t="s">
        <v>582</v>
      </c>
      <c r="C190" s="918"/>
    </row>
    <row r="191" spans="1:3" ht="25.5" customHeight="1">
      <c r="A191" s="592">
        <v>1.2</v>
      </c>
      <c r="B191" s="600" t="s">
        <v>895</v>
      </c>
      <c r="C191" s="585" t="s">
        <v>954</v>
      </c>
    </row>
    <row r="192" spans="1:3" ht="22.5">
      <c r="A192" s="592" t="s">
        <v>584</v>
      </c>
      <c r="B192" s="595" t="s">
        <v>585</v>
      </c>
      <c r="C192" s="598" t="s">
        <v>670</v>
      </c>
    </row>
    <row r="193" spans="1:4" ht="22.5">
      <c r="A193" s="592" t="s">
        <v>586</v>
      </c>
      <c r="B193" s="599" t="s">
        <v>587</v>
      </c>
      <c r="C193" s="598" t="s">
        <v>671</v>
      </c>
    </row>
    <row r="194" spans="1:4" ht="25.9" customHeight="1">
      <c r="A194" s="592" t="s">
        <v>588</v>
      </c>
      <c r="B194" s="597" t="s">
        <v>589</v>
      </c>
      <c r="C194" s="585" t="s">
        <v>672</v>
      </c>
    </row>
    <row r="195" spans="1:4" ht="22.5">
      <c r="A195" s="592" t="s">
        <v>590</v>
      </c>
      <c r="B195" s="596" t="s">
        <v>591</v>
      </c>
      <c r="C195" s="585" t="s">
        <v>673</v>
      </c>
      <c r="D195" s="404"/>
    </row>
    <row r="196" spans="1:4" ht="22.5">
      <c r="A196" s="592">
        <v>1.4</v>
      </c>
      <c r="B196" s="595" t="s">
        <v>680</v>
      </c>
      <c r="C196" s="594" t="s">
        <v>674</v>
      </c>
      <c r="D196" s="405"/>
    </row>
    <row r="197" spans="1:4" ht="12.75">
      <c r="A197" s="592">
        <v>1.5</v>
      </c>
      <c r="B197" s="595" t="s">
        <v>681</v>
      </c>
      <c r="C197" s="594" t="s">
        <v>674</v>
      </c>
      <c r="D197" s="406"/>
    </row>
    <row r="198" spans="1:4" ht="12.75">
      <c r="A198" s="592"/>
      <c r="B198" s="919" t="s">
        <v>675</v>
      </c>
      <c r="C198" s="919"/>
      <c r="D198" s="406"/>
    </row>
    <row r="199" spans="1:4" ht="12.75">
      <c r="A199" s="592"/>
      <c r="B199" s="916" t="s">
        <v>918</v>
      </c>
      <c r="C199" s="916"/>
      <c r="D199" s="406"/>
    </row>
    <row r="200" spans="1:4" ht="15">
      <c r="A200" s="591"/>
      <c r="B200" s="588" t="s">
        <v>917</v>
      </c>
      <c r="C200" s="593" t="s">
        <v>951</v>
      </c>
      <c r="D200" s="406"/>
    </row>
    <row r="201" spans="1:4" ht="12.75">
      <c r="A201" s="592"/>
      <c r="B201" s="919" t="s">
        <v>676</v>
      </c>
      <c r="C201" s="919"/>
      <c r="D201" s="407"/>
    </row>
    <row r="202" spans="1:4" ht="12.75">
      <c r="A202" s="591"/>
      <c r="B202" s="920" t="s">
        <v>916</v>
      </c>
      <c r="C202" s="920"/>
      <c r="D202" s="408"/>
    </row>
    <row r="203" spans="1:4" ht="12.75">
      <c r="B203" s="919" t="s">
        <v>714</v>
      </c>
      <c r="C203" s="919"/>
      <c r="D203" s="409"/>
    </row>
    <row r="204" spans="1:4" ht="22.5">
      <c r="A204" s="587">
        <v>1</v>
      </c>
      <c r="B204" s="588" t="s">
        <v>690</v>
      </c>
      <c r="C204" s="585" t="s">
        <v>702</v>
      </c>
      <c r="D204" s="408"/>
    </row>
    <row r="205" spans="1:4" ht="18" customHeight="1">
      <c r="A205" s="587">
        <v>2</v>
      </c>
      <c r="B205" s="588" t="s">
        <v>691</v>
      </c>
      <c r="C205" s="585" t="s">
        <v>703</v>
      </c>
      <c r="D205" s="409"/>
    </row>
    <row r="206" spans="1:4" ht="22.5">
      <c r="A206" s="587">
        <v>3</v>
      </c>
      <c r="B206" s="588" t="s">
        <v>692</v>
      </c>
      <c r="C206" s="588" t="s">
        <v>704</v>
      </c>
      <c r="D206" s="410"/>
    </row>
    <row r="207" spans="1:4" ht="12.75">
      <c r="A207" s="587">
        <v>4</v>
      </c>
      <c r="B207" s="588" t="s">
        <v>693</v>
      </c>
      <c r="C207" s="588" t="s">
        <v>705</v>
      </c>
      <c r="D207" s="410"/>
    </row>
    <row r="208" spans="1:4" ht="22.5">
      <c r="A208" s="587">
        <v>5</v>
      </c>
      <c r="B208" s="588" t="s">
        <v>694</v>
      </c>
      <c r="C208" s="588" t="s">
        <v>706</v>
      </c>
    </row>
    <row r="209" spans="1:3" ht="24.4" customHeight="1">
      <c r="A209" s="587">
        <v>6</v>
      </c>
      <c r="B209" s="588" t="s">
        <v>695</v>
      </c>
      <c r="C209" s="588" t="s">
        <v>707</v>
      </c>
    </row>
    <row r="210" spans="1:3" ht="22.5">
      <c r="A210" s="587">
        <v>7</v>
      </c>
      <c r="B210" s="588" t="s">
        <v>696</v>
      </c>
      <c r="C210" s="588" t="s">
        <v>708</v>
      </c>
    </row>
    <row r="211" spans="1:3">
      <c r="A211" s="587">
        <v>7.1</v>
      </c>
      <c r="B211" s="590" t="s">
        <v>697</v>
      </c>
      <c r="C211" s="588" t="s">
        <v>709</v>
      </c>
    </row>
    <row r="212" spans="1:3" ht="22.5">
      <c r="A212" s="587">
        <v>7.2</v>
      </c>
      <c r="B212" s="590" t="s">
        <v>698</v>
      </c>
      <c r="C212" s="588" t="s">
        <v>710</v>
      </c>
    </row>
    <row r="213" spans="1:3">
      <c r="A213" s="587">
        <v>7.3</v>
      </c>
      <c r="B213" s="589" t="s">
        <v>699</v>
      </c>
      <c r="C213" s="588" t="s">
        <v>711</v>
      </c>
    </row>
    <row r="214" spans="1:3" ht="39.4" customHeight="1">
      <c r="A214" s="587">
        <v>8</v>
      </c>
      <c r="B214" s="588" t="s">
        <v>700</v>
      </c>
      <c r="C214" s="585" t="s">
        <v>712</v>
      </c>
    </row>
    <row r="215" spans="1:3">
      <c r="A215" s="587">
        <v>9</v>
      </c>
      <c r="B215" s="588" t="s">
        <v>701</v>
      </c>
      <c r="C215" s="585" t="s">
        <v>713</v>
      </c>
    </row>
    <row r="216" spans="1:3" ht="22.5">
      <c r="A216" s="630">
        <v>10.1</v>
      </c>
      <c r="B216" s="631" t="s">
        <v>721</v>
      </c>
      <c r="C216" s="622" t="s">
        <v>722</v>
      </c>
    </row>
    <row r="217" spans="1:3">
      <c r="A217" s="921"/>
      <c r="B217" s="632" t="s">
        <v>908</v>
      </c>
      <c r="C217" s="585" t="s">
        <v>915</v>
      </c>
    </row>
    <row r="218" spans="1:3">
      <c r="A218" s="921"/>
      <c r="B218" s="586" t="s">
        <v>572</v>
      </c>
      <c r="C218" s="585" t="s">
        <v>914</v>
      </c>
    </row>
    <row r="219" spans="1:3" ht="15">
      <c r="A219" s="921"/>
      <c r="B219" s="586" t="s">
        <v>907</v>
      </c>
      <c r="C219" s="585" t="s">
        <v>955</v>
      </c>
    </row>
    <row r="220" spans="1:3">
      <c r="A220" s="921"/>
      <c r="B220" s="586" t="s">
        <v>715</v>
      </c>
      <c r="C220" s="585" t="s">
        <v>913</v>
      </c>
    </row>
    <row r="221" spans="1:3" ht="22.5">
      <c r="A221" s="921"/>
      <c r="B221" s="586" t="s">
        <v>719</v>
      </c>
      <c r="C221" s="601" t="s">
        <v>912</v>
      </c>
    </row>
    <row r="222" spans="1:3" ht="33.75">
      <c r="A222" s="921"/>
      <c r="B222" s="586" t="s">
        <v>718</v>
      </c>
      <c r="C222" s="585" t="s">
        <v>911</v>
      </c>
    </row>
    <row r="223" spans="1:3">
      <c r="A223" s="921"/>
      <c r="B223" s="586" t="s">
        <v>956</v>
      </c>
      <c r="C223" s="585" t="s">
        <v>910</v>
      </c>
    </row>
    <row r="224" spans="1:3" ht="22.5">
      <c r="A224" s="921"/>
      <c r="B224" s="586" t="s">
        <v>957</v>
      </c>
      <c r="C224" s="585" t="s">
        <v>909</v>
      </c>
    </row>
    <row r="225" spans="1:3" ht="15">
      <c r="A225" s="623"/>
      <c r="B225" s="624"/>
      <c r="C225" s="625"/>
    </row>
    <row r="226" spans="1:3" ht="15">
      <c r="A226" s="623"/>
      <c r="B226" s="625"/>
      <c r="C226" s="626"/>
    </row>
    <row r="227" spans="1:3" ht="15">
      <c r="A227" s="623"/>
      <c r="B227" s="625"/>
      <c r="C227" s="626"/>
    </row>
    <row r="228" spans="1:3" ht="15">
      <c r="A228" s="623"/>
      <c r="B228" s="627"/>
      <c r="C228" s="626"/>
    </row>
    <row r="229" spans="1:3" ht="15">
      <c r="A229" s="915"/>
      <c r="B229" s="628"/>
      <c r="C229" s="626"/>
    </row>
    <row r="230" spans="1:3" ht="15">
      <c r="A230" s="915"/>
      <c r="B230" s="628"/>
      <c r="C230" s="626"/>
    </row>
    <row r="231" spans="1:3" ht="15">
      <c r="A231" s="915"/>
      <c r="B231" s="628"/>
      <c r="C231" s="626"/>
    </row>
    <row r="232" spans="1:3" ht="15">
      <c r="A232" s="915"/>
      <c r="B232" s="628"/>
      <c r="C232" s="629"/>
    </row>
    <row r="233" spans="1:3" ht="40.5" customHeight="1">
      <c r="A233" s="915"/>
      <c r="B233" s="628"/>
      <c r="C233" s="626"/>
    </row>
    <row r="234" spans="1:3" ht="24" customHeight="1">
      <c r="A234" s="915"/>
      <c r="B234" s="628"/>
      <c r="C234" s="626"/>
    </row>
    <row r="235" spans="1:3" ht="15">
      <c r="A235" s="915"/>
      <c r="B235" s="628"/>
      <c r="C235" s="626"/>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topLeftCell="A28" zoomScale="70" zoomScaleNormal="70" workbookViewId="0">
      <selection activeCell="C6" sqref="C6:H110"/>
    </sheetView>
  </sheetViews>
  <sheetFormatPr defaultRowHeight="15"/>
  <cols>
    <col min="2" max="2" width="66.7109375" customWidth="1"/>
    <col min="3" max="8" width="17.7109375" customWidth="1"/>
  </cols>
  <sheetData>
    <row r="1" spans="1:8" ht="15.75">
      <c r="A1" s="17" t="s">
        <v>108</v>
      </c>
      <c r="B1" s="316" t="str">
        <f>Info!C2</f>
        <v>JSC "VTB Bank (Georgia)"</v>
      </c>
      <c r="C1" s="16"/>
      <c r="D1" s="233"/>
      <c r="E1" s="233"/>
      <c r="F1" s="233"/>
      <c r="G1" s="233"/>
    </row>
    <row r="2" spans="1:8" ht="15.75">
      <c r="A2" s="17" t="s">
        <v>109</v>
      </c>
      <c r="B2" s="347">
        <f>Info!D2</f>
        <v>45291</v>
      </c>
      <c r="C2" s="29"/>
      <c r="D2" s="18"/>
      <c r="E2" s="18"/>
      <c r="F2" s="18"/>
      <c r="G2" s="18"/>
      <c r="H2" s="1"/>
    </row>
    <row r="3" spans="1:8" ht="15.75">
      <c r="A3" s="17"/>
      <c r="B3" s="16"/>
      <c r="C3" s="29"/>
      <c r="D3" s="18"/>
      <c r="E3" s="18"/>
      <c r="F3" s="18"/>
      <c r="G3" s="18"/>
      <c r="H3" s="1"/>
    </row>
    <row r="4" spans="1:8">
      <c r="A4" s="798" t="s">
        <v>25</v>
      </c>
      <c r="B4" s="796" t="s">
        <v>166</v>
      </c>
      <c r="C4" s="791" t="s">
        <v>114</v>
      </c>
      <c r="D4" s="791"/>
      <c r="E4" s="791"/>
      <c r="F4" s="791" t="s">
        <v>115</v>
      </c>
      <c r="G4" s="791"/>
      <c r="H4" s="792"/>
    </row>
    <row r="5" spans="1:8" ht="15.4" customHeight="1">
      <c r="A5" s="799"/>
      <c r="B5" s="797"/>
      <c r="C5" s="443" t="s">
        <v>26</v>
      </c>
      <c r="D5" s="443" t="s">
        <v>88</v>
      </c>
      <c r="E5" s="443" t="s">
        <v>66</v>
      </c>
      <c r="F5" s="443" t="s">
        <v>26</v>
      </c>
      <c r="G5" s="443" t="s">
        <v>88</v>
      </c>
      <c r="H5" s="443" t="s">
        <v>66</v>
      </c>
    </row>
    <row r="6" spans="1:8">
      <c r="A6" s="470">
        <v>1</v>
      </c>
      <c r="B6" s="444" t="s">
        <v>776</v>
      </c>
      <c r="C6" s="717">
        <f>SUM(C7:C12)</f>
        <v>14236560.765820511</v>
      </c>
      <c r="D6" s="717">
        <f>SUM(D7:D12)</f>
        <v>7550404.8610394569</v>
      </c>
      <c r="E6" s="696">
        <f>C6+D6</f>
        <v>21786965.626859967</v>
      </c>
      <c r="F6" s="717">
        <f>SUM(F7:F12)</f>
        <v>43436816.647884354</v>
      </c>
      <c r="G6" s="717">
        <f>SUM(G7:G12)</f>
        <v>19755756.281422876</v>
      </c>
      <c r="H6" s="696">
        <f>F6+G6</f>
        <v>63192572.92930723</v>
      </c>
    </row>
    <row r="7" spans="1:8">
      <c r="A7" s="470">
        <v>1.1000000000000001</v>
      </c>
      <c r="B7" s="445" t="s">
        <v>730</v>
      </c>
      <c r="C7" s="717"/>
      <c r="D7" s="717"/>
      <c r="E7" s="696">
        <f t="shared" ref="E7:E45" si="0">C7+D7</f>
        <v>0</v>
      </c>
      <c r="F7" s="717"/>
      <c r="G7" s="717"/>
      <c r="H7" s="696">
        <f t="shared" ref="H7:H45" si="1">F7+G7</f>
        <v>0</v>
      </c>
    </row>
    <row r="8" spans="1:8" ht="21">
      <c r="A8" s="470">
        <v>1.2</v>
      </c>
      <c r="B8" s="445" t="s">
        <v>777</v>
      </c>
      <c r="C8" s="717">
        <v>172436.42999999993</v>
      </c>
      <c r="D8" s="717"/>
      <c r="E8" s="696">
        <f t="shared" si="0"/>
        <v>172436.42999999993</v>
      </c>
      <c r="F8" s="717">
        <v>3562333.1769834752</v>
      </c>
      <c r="G8" s="717"/>
      <c r="H8" s="696">
        <f t="shared" si="1"/>
        <v>3562333.1769834752</v>
      </c>
    </row>
    <row r="9" spans="1:8" ht="21.4" customHeight="1">
      <c r="A9" s="470">
        <v>1.3</v>
      </c>
      <c r="B9" s="439" t="s">
        <v>778</v>
      </c>
      <c r="C9" s="717"/>
      <c r="D9" s="717"/>
      <c r="E9" s="696">
        <f t="shared" si="0"/>
        <v>0</v>
      </c>
      <c r="F9" s="717"/>
      <c r="G9" s="717"/>
      <c r="H9" s="696">
        <f t="shared" si="1"/>
        <v>0</v>
      </c>
    </row>
    <row r="10" spans="1:8" ht="21">
      <c r="A10" s="470">
        <v>1.4</v>
      </c>
      <c r="B10" s="439" t="s">
        <v>734</v>
      </c>
      <c r="C10" s="717"/>
      <c r="D10" s="717"/>
      <c r="E10" s="696">
        <f t="shared" si="0"/>
        <v>0</v>
      </c>
      <c r="F10" s="717"/>
      <c r="G10" s="717"/>
      <c r="H10" s="696">
        <f t="shared" si="1"/>
        <v>0</v>
      </c>
    </row>
    <row r="11" spans="1:8">
      <c r="A11" s="470">
        <v>1.5</v>
      </c>
      <c r="B11" s="439" t="s">
        <v>737</v>
      </c>
      <c r="C11" s="717">
        <v>14064124.335820511</v>
      </c>
      <c r="D11" s="717">
        <v>7550404.8610394569</v>
      </c>
      <c r="E11" s="696">
        <f t="shared" si="0"/>
        <v>21614529.196859967</v>
      </c>
      <c r="F11" s="717">
        <v>39874483.470900878</v>
      </c>
      <c r="G11" s="717">
        <v>18812127.281422876</v>
      </c>
      <c r="H11" s="696">
        <f t="shared" si="1"/>
        <v>58686610.752323754</v>
      </c>
    </row>
    <row r="12" spans="1:8">
      <c r="A12" s="470">
        <v>1.6</v>
      </c>
      <c r="B12" s="446" t="s">
        <v>99</v>
      </c>
      <c r="C12" s="717"/>
      <c r="D12" s="717"/>
      <c r="E12" s="696">
        <f t="shared" si="0"/>
        <v>0</v>
      </c>
      <c r="F12" s="717"/>
      <c r="G12" s="717">
        <v>943629</v>
      </c>
      <c r="H12" s="696">
        <f t="shared" si="1"/>
        <v>943629</v>
      </c>
    </row>
    <row r="13" spans="1:8">
      <c r="A13" s="470">
        <v>2</v>
      </c>
      <c r="B13" s="447" t="s">
        <v>779</v>
      </c>
      <c r="C13" s="717">
        <f>SUM(C14:C17)</f>
        <v>-1568357.0910999998</v>
      </c>
      <c r="D13" s="717">
        <f>SUM(D14:D17)</f>
        <v>-8670600.9900000002</v>
      </c>
      <c r="E13" s="696">
        <f t="shared" si="0"/>
        <v>-10238958.0811</v>
      </c>
      <c r="F13" s="717">
        <f>SUM(F14:F17)</f>
        <v>-15493965.89010687</v>
      </c>
      <c r="G13" s="717">
        <f>SUM(G14:G17)</f>
        <v>-13348637.997346392</v>
      </c>
      <c r="H13" s="696">
        <f t="shared" si="1"/>
        <v>-28842603.887453262</v>
      </c>
    </row>
    <row r="14" spans="1:8">
      <c r="A14" s="470">
        <v>2.1</v>
      </c>
      <c r="B14" s="439" t="s">
        <v>780</v>
      </c>
      <c r="C14" s="717"/>
      <c r="D14" s="717"/>
      <c r="E14" s="696">
        <f t="shared" si="0"/>
        <v>0</v>
      </c>
      <c r="F14" s="717"/>
      <c r="G14" s="717"/>
      <c r="H14" s="696">
        <f t="shared" si="1"/>
        <v>0</v>
      </c>
    </row>
    <row r="15" spans="1:8" ht="24.4" customHeight="1">
      <c r="A15" s="470">
        <v>2.2000000000000002</v>
      </c>
      <c r="B15" s="439" t="s">
        <v>781</v>
      </c>
      <c r="C15" s="717"/>
      <c r="D15" s="717"/>
      <c r="E15" s="696">
        <f t="shared" si="0"/>
        <v>0</v>
      </c>
      <c r="F15" s="717"/>
      <c r="G15" s="717"/>
      <c r="H15" s="696">
        <f t="shared" si="1"/>
        <v>0</v>
      </c>
    </row>
    <row r="16" spans="1:8" ht="20.65" customHeight="1">
      <c r="A16" s="470">
        <v>2.2999999999999998</v>
      </c>
      <c r="B16" s="439" t="s">
        <v>782</v>
      </c>
      <c r="C16" s="717">
        <v>-1568357.0910999998</v>
      </c>
      <c r="D16" s="717">
        <v>-8636368.9900000002</v>
      </c>
      <c r="E16" s="696">
        <f t="shared" si="0"/>
        <v>-10204726.0811</v>
      </c>
      <c r="F16" s="717">
        <v>-15493965.89010687</v>
      </c>
      <c r="G16" s="717">
        <v>-12980202.017346391</v>
      </c>
      <c r="H16" s="696">
        <f t="shared" si="1"/>
        <v>-28474167.907453261</v>
      </c>
    </row>
    <row r="17" spans="1:8">
      <c r="A17" s="470">
        <v>2.4</v>
      </c>
      <c r="B17" s="439" t="s">
        <v>783</v>
      </c>
      <c r="C17" s="717"/>
      <c r="D17" s="717">
        <v>-34232</v>
      </c>
      <c r="E17" s="696">
        <f t="shared" si="0"/>
        <v>-34232</v>
      </c>
      <c r="F17" s="717"/>
      <c r="G17" s="717">
        <v>-368435.98</v>
      </c>
      <c r="H17" s="696">
        <f t="shared" si="1"/>
        <v>-368435.98</v>
      </c>
    </row>
    <row r="18" spans="1:8">
      <c r="A18" s="470">
        <v>3</v>
      </c>
      <c r="B18" s="447" t="s">
        <v>784</v>
      </c>
      <c r="C18" s="717"/>
      <c r="D18" s="717"/>
      <c r="E18" s="696">
        <f t="shared" si="0"/>
        <v>0</v>
      </c>
      <c r="F18" s="717"/>
      <c r="G18" s="717"/>
      <c r="H18" s="696">
        <f t="shared" si="1"/>
        <v>0</v>
      </c>
    </row>
    <row r="19" spans="1:8">
      <c r="A19" s="470">
        <v>4</v>
      </c>
      <c r="B19" s="447" t="s">
        <v>785</v>
      </c>
      <c r="C19" s="717">
        <v>80907.88</v>
      </c>
      <c r="D19" s="717"/>
      <c r="E19" s="696">
        <f t="shared" si="0"/>
        <v>80907.88</v>
      </c>
      <c r="F19" s="717">
        <v>2741784.7580470797</v>
      </c>
      <c r="G19" s="717">
        <v>1496666.5919529195</v>
      </c>
      <c r="H19" s="696">
        <f t="shared" si="1"/>
        <v>4238451.3499999996</v>
      </c>
    </row>
    <row r="20" spans="1:8">
      <c r="A20" s="470">
        <v>5</v>
      </c>
      <c r="B20" s="447" t="s">
        <v>786</v>
      </c>
      <c r="C20" s="717">
        <v>-29504.76</v>
      </c>
      <c r="D20" s="717"/>
      <c r="E20" s="696">
        <f t="shared" si="0"/>
        <v>-29504.76</v>
      </c>
      <c r="F20" s="717">
        <v>0</v>
      </c>
      <c r="G20" s="717">
        <v>-1338295.46</v>
      </c>
      <c r="H20" s="696">
        <f t="shared" si="1"/>
        <v>-1338295.46</v>
      </c>
    </row>
    <row r="21" spans="1:8" ht="38.65" customHeight="1">
      <c r="A21" s="470">
        <v>6</v>
      </c>
      <c r="B21" s="447" t="s">
        <v>787</v>
      </c>
      <c r="C21" s="717">
        <v>-64777.36911999993</v>
      </c>
      <c r="D21" s="717"/>
      <c r="E21" s="696">
        <f t="shared" si="0"/>
        <v>-64777.36911999993</v>
      </c>
      <c r="F21" s="717">
        <v>76009.630860001082</v>
      </c>
      <c r="G21" s="717"/>
      <c r="H21" s="696">
        <f t="shared" si="1"/>
        <v>76009.630860001082</v>
      </c>
    </row>
    <row r="22" spans="1:8" ht="27.4" customHeight="1">
      <c r="A22" s="470">
        <v>7</v>
      </c>
      <c r="B22" s="447" t="s">
        <v>788</v>
      </c>
      <c r="C22" s="717"/>
      <c r="D22" s="717"/>
      <c r="E22" s="696">
        <f t="shared" si="0"/>
        <v>0</v>
      </c>
      <c r="F22" s="717"/>
      <c r="G22" s="717"/>
      <c r="H22" s="696">
        <f t="shared" si="1"/>
        <v>0</v>
      </c>
    </row>
    <row r="23" spans="1:8" ht="37.15" customHeight="1">
      <c r="A23" s="470">
        <v>8</v>
      </c>
      <c r="B23" s="448" t="s">
        <v>789</v>
      </c>
      <c r="C23" s="717"/>
      <c r="D23" s="717"/>
      <c r="E23" s="696">
        <f t="shared" si="0"/>
        <v>0</v>
      </c>
      <c r="F23" s="717"/>
      <c r="G23" s="717"/>
      <c r="H23" s="696">
        <f t="shared" si="1"/>
        <v>0</v>
      </c>
    </row>
    <row r="24" spans="1:8" ht="34.5" customHeight="1">
      <c r="A24" s="470">
        <v>9</v>
      </c>
      <c r="B24" s="448" t="s">
        <v>790</v>
      </c>
      <c r="C24" s="717"/>
      <c r="D24" s="717"/>
      <c r="E24" s="696">
        <f t="shared" si="0"/>
        <v>0</v>
      </c>
      <c r="F24" s="717"/>
      <c r="G24" s="717"/>
      <c r="H24" s="696">
        <f t="shared" si="1"/>
        <v>0</v>
      </c>
    </row>
    <row r="25" spans="1:8">
      <c r="A25" s="470">
        <v>10</v>
      </c>
      <c r="B25" s="447" t="s">
        <v>791</v>
      </c>
      <c r="C25" s="717">
        <v>23629477.352346495</v>
      </c>
      <c r="D25" s="717"/>
      <c r="E25" s="696">
        <f t="shared" si="0"/>
        <v>23629477.352346495</v>
      </c>
      <c r="F25" s="717">
        <v>-50128888.962693274</v>
      </c>
      <c r="G25" s="717"/>
      <c r="H25" s="696">
        <f t="shared" si="1"/>
        <v>-50128888.962693274</v>
      </c>
    </row>
    <row r="26" spans="1:8" ht="27" customHeight="1">
      <c r="A26" s="470">
        <v>11</v>
      </c>
      <c r="B26" s="449" t="s">
        <v>792</v>
      </c>
      <c r="C26" s="717">
        <v>-16138142.269999998</v>
      </c>
      <c r="D26" s="717"/>
      <c r="E26" s="696">
        <f t="shared" si="0"/>
        <v>-16138142.269999998</v>
      </c>
      <c r="F26" s="717">
        <v>-41824048.109999999</v>
      </c>
      <c r="G26" s="717"/>
      <c r="H26" s="696">
        <f t="shared" si="1"/>
        <v>-41824048.109999999</v>
      </c>
    </row>
    <row r="27" spans="1:8">
      <c r="A27" s="470">
        <v>12</v>
      </c>
      <c r="B27" s="447" t="s">
        <v>793</v>
      </c>
      <c r="C27" s="717">
        <v>1103412</v>
      </c>
      <c r="D27" s="717"/>
      <c r="E27" s="696">
        <f t="shared" si="0"/>
        <v>1103412</v>
      </c>
      <c r="F27" s="717">
        <v>5934965.3991999999</v>
      </c>
      <c r="G27" s="717"/>
      <c r="H27" s="696">
        <f t="shared" si="1"/>
        <v>5934965.3991999999</v>
      </c>
    </row>
    <row r="28" spans="1:8">
      <c r="A28" s="470">
        <v>13</v>
      </c>
      <c r="B28" s="450" t="s">
        <v>794</v>
      </c>
      <c r="C28" s="717">
        <v>-1412274.913676599</v>
      </c>
      <c r="D28" s="717"/>
      <c r="E28" s="696">
        <f t="shared" si="0"/>
        <v>-1412274.913676599</v>
      </c>
      <c r="F28" s="717">
        <v>-12623677.099835103</v>
      </c>
      <c r="G28" s="717"/>
      <c r="H28" s="696">
        <f t="shared" si="1"/>
        <v>-12623677.099835103</v>
      </c>
    </row>
    <row r="29" spans="1:8">
      <c r="A29" s="470">
        <v>14</v>
      </c>
      <c r="B29" s="451" t="s">
        <v>795</v>
      </c>
      <c r="C29" s="717">
        <f>SUM(C30:C31)</f>
        <v>-11221099.300000001</v>
      </c>
      <c r="D29" s="717">
        <f>SUM(D30:D31)</f>
        <v>0</v>
      </c>
      <c r="E29" s="696">
        <f t="shared" si="0"/>
        <v>-11221099.300000001</v>
      </c>
      <c r="F29" s="717">
        <f>SUM(F30:F31)</f>
        <v>-16218870.359999999</v>
      </c>
      <c r="G29" s="717">
        <f>SUM(G30:G31)</f>
        <v>0</v>
      </c>
      <c r="H29" s="696">
        <f t="shared" si="1"/>
        <v>-16218870.359999999</v>
      </c>
    </row>
    <row r="30" spans="1:8">
      <c r="A30" s="470">
        <v>14.1</v>
      </c>
      <c r="B30" s="424" t="s">
        <v>796</v>
      </c>
      <c r="C30" s="717">
        <v>-9808401</v>
      </c>
      <c r="D30" s="717"/>
      <c r="E30" s="696">
        <f t="shared" si="0"/>
        <v>-9808401</v>
      </c>
      <c r="F30" s="717">
        <v>-16218870.359999999</v>
      </c>
      <c r="G30" s="717"/>
      <c r="H30" s="696">
        <f t="shared" si="1"/>
        <v>-16218870.359999999</v>
      </c>
    </row>
    <row r="31" spans="1:8">
      <c r="A31" s="470">
        <v>14.2</v>
      </c>
      <c r="B31" s="424" t="s">
        <v>797</v>
      </c>
      <c r="C31" s="717">
        <v>-1412698.3</v>
      </c>
      <c r="D31" s="717"/>
      <c r="E31" s="696">
        <f t="shared" si="0"/>
        <v>-1412698.3</v>
      </c>
      <c r="F31" s="717">
        <v>0</v>
      </c>
      <c r="G31" s="717"/>
      <c r="H31" s="696">
        <f t="shared" si="1"/>
        <v>0</v>
      </c>
    </row>
    <row r="32" spans="1:8">
      <c r="A32" s="470">
        <v>15</v>
      </c>
      <c r="B32" s="452" t="s">
        <v>798</v>
      </c>
      <c r="C32" s="717">
        <v>-3717650</v>
      </c>
      <c r="D32" s="717"/>
      <c r="E32" s="696">
        <f t="shared" si="0"/>
        <v>-3717650</v>
      </c>
      <c r="F32" s="717">
        <v>-2983153</v>
      </c>
      <c r="G32" s="717"/>
      <c r="H32" s="696">
        <f t="shared" si="1"/>
        <v>-2983153</v>
      </c>
    </row>
    <row r="33" spans="1:8" ht="22.5" customHeight="1">
      <c r="A33" s="470">
        <v>16</v>
      </c>
      <c r="B33" s="420" t="s">
        <v>799</v>
      </c>
      <c r="C33" s="717"/>
      <c r="D33" s="717"/>
      <c r="E33" s="696">
        <f t="shared" si="0"/>
        <v>0</v>
      </c>
      <c r="F33" s="717"/>
      <c r="G33" s="717"/>
      <c r="H33" s="696">
        <f t="shared" si="1"/>
        <v>0</v>
      </c>
    </row>
    <row r="34" spans="1:8">
      <c r="A34" s="470">
        <v>17</v>
      </c>
      <c r="B34" s="447" t="s">
        <v>800</v>
      </c>
      <c r="C34" s="717">
        <f>SUM(C35:C36)</f>
        <v>145542.92453019501</v>
      </c>
      <c r="D34" s="717">
        <f>SUM(D35:D36)</f>
        <v>0</v>
      </c>
      <c r="E34" s="696">
        <f t="shared" si="0"/>
        <v>145542.92453019501</v>
      </c>
      <c r="F34" s="717">
        <f>SUM(F35:F36)</f>
        <v>542952.51163393678</v>
      </c>
      <c r="G34" s="717">
        <f>SUM(G35:G36)</f>
        <v>0</v>
      </c>
      <c r="H34" s="696">
        <f t="shared" si="1"/>
        <v>542952.51163393678</v>
      </c>
    </row>
    <row r="35" spans="1:8">
      <c r="A35" s="470">
        <v>17.100000000000001</v>
      </c>
      <c r="B35" s="453" t="s">
        <v>801</v>
      </c>
      <c r="C35" s="717">
        <v>11255</v>
      </c>
      <c r="D35" s="717"/>
      <c r="E35" s="696">
        <f t="shared" si="0"/>
        <v>11255</v>
      </c>
      <c r="F35" s="717"/>
      <c r="G35" s="717"/>
      <c r="H35" s="696">
        <f t="shared" si="1"/>
        <v>0</v>
      </c>
    </row>
    <row r="36" spans="1:8">
      <c r="A36" s="470">
        <v>17.2</v>
      </c>
      <c r="B36" s="424" t="s">
        <v>802</v>
      </c>
      <c r="C36" s="717">
        <v>134287.92453019501</v>
      </c>
      <c r="D36" s="717"/>
      <c r="E36" s="696">
        <f t="shared" si="0"/>
        <v>134287.92453019501</v>
      </c>
      <c r="F36" s="717">
        <v>542952.51163393678</v>
      </c>
      <c r="G36" s="717"/>
      <c r="H36" s="696">
        <f t="shared" si="1"/>
        <v>542952.51163393678</v>
      </c>
    </row>
    <row r="37" spans="1:8" ht="41.65" customHeight="1">
      <c r="A37" s="470">
        <v>18</v>
      </c>
      <c r="B37" s="454" t="s">
        <v>803</v>
      </c>
      <c r="C37" s="717">
        <f>SUM(C38:C39)</f>
        <v>-6893012.2999999998</v>
      </c>
      <c r="D37" s="717">
        <f>SUM(D38:D39)</f>
        <v>0</v>
      </c>
      <c r="E37" s="696">
        <f t="shared" si="0"/>
        <v>-6893012.2999999998</v>
      </c>
      <c r="F37" s="717">
        <f>SUM(F38:F39)</f>
        <v>2185283.9064140096</v>
      </c>
      <c r="G37" s="692">
        <f>SUM(G38:G39)</f>
        <v>0</v>
      </c>
      <c r="H37" s="696">
        <f t="shared" si="1"/>
        <v>2185283.9064140096</v>
      </c>
    </row>
    <row r="38" spans="1:8" ht="21">
      <c r="A38" s="470">
        <v>18.100000000000001</v>
      </c>
      <c r="B38" s="439" t="s">
        <v>804</v>
      </c>
      <c r="C38" s="717"/>
      <c r="D38" s="717"/>
      <c r="E38" s="696">
        <f t="shared" si="0"/>
        <v>0</v>
      </c>
      <c r="F38" s="717"/>
      <c r="G38" s="717"/>
      <c r="H38" s="696">
        <f t="shared" si="1"/>
        <v>0</v>
      </c>
    </row>
    <row r="39" spans="1:8">
      <c r="A39" s="470">
        <v>18.2</v>
      </c>
      <c r="B39" s="439" t="s">
        <v>805</v>
      </c>
      <c r="C39" s="717">
        <v>-6893012.2999999998</v>
      </c>
      <c r="D39" s="717"/>
      <c r="E39" s="696">
        <f t="shared" si="0"/>
        <v>-6893012.2999999998</v>
      </c>
      <c r="F39" s="717">
        <v>2185283.9064140096</v>
      </c>
      <c r="G39" s="717"/>
      <c r="H39" s="696">
        <f t="shared" si="1"/>
        <v>2185283.9064140096</v>
      </c>
    </row>
    <row r="40" spans="1:8" ht="24.4" customHeight="1">
      <c r="A40" s="470">
        <v>19</v>
      </c>
      <c r="B40" s="454" t="s">
        <v>806</v>
      </c>
      <c r="C40" s="717"/>
      <c r="D40" s="717"/>
      <c r="E40" s="696">
        <f t="shared" si="0"/>
        <v>0</v>
      </c>
      <c r="F40" s="717"/>
      <c r="G40" s="717"/>
      <c r="H40" s="696">
        <f t="shared" si="1"/>
        <v>0</v>
      </c>
    </row>
    <row r="41" spans="1:8" ht="25.15" customHeight="1">
      <c r="A41" s="470">
        <v>20</v>
      </c>
      <c r="B41" s="454" t="s">
        <v>807</v>
      </c>
      <c r="C41" s="717"/>
      <c r="D41" s="717"/>
      <c r="E41" s="696">
        <f t="shared" si="0"/>
        <v>0</v>
      </c>
      <c r="F41" s="717"/>
      <c r="G41" s="717"/>
      <c r="H41" s="696">
        <f t="shared" si="1"/>
        <v>0</v>
      </c>
    </row>
    <row r="42" spans="1:8" ht="33" customHeight="1">
      <c r="A42" s="470">
        <v>21</v>
      </c>
      <c r="B42" s="455" t="s">
        <v>808</v>
      </c>
      <c r="C42" s="717"/>
      <c r="D42" s="717"/>
      <c r="E42" s="696">
        <f t="shared" si="0"/>
        <v>0</v>
      </c>
      <c r="F42" s="717"/>
      <c r="G42" s="717"/>
      <c r="H42" s="696">
        <f t="shared" si="1"/>
        <v>0</v>
      </c>
    </row>
    <row r="43" spans="1:8">
      <c r="A43" s="470">
        <v>22</v>
      </c>
      <c r="B43" s="456" t="s">
        <v>809</v>
      </c>
      <c r="C43" s="717">
        <f>SUM(C6,C13,C18,C19,C20,C21,C22,C23,C24,C25,C26,C27,C28,C29,C32,C33,C34,C37,C40,C41,C42)</f>
        <v>-1848917.0811993899</v>
      </c>
      <c r="D43" s="717">
        <f>SUM(D6,D13,D18,D19,D20,D21,D22,D23,D24,D25,D26,D27,D28,D29,D32,D33,D34,D37,D40,D41,D42)</f>
        <v>-1120196.1289605433</v>
      </c>
      <c r="E43" s="696">
        <f t="shared" si="0"/>
        <v>-2969113.2101599332</v>
      </c>
      <c r="F43" s="717">
        <f>SUM(F6,F13,F18,F19,F20,F21,F22,F23,F24,F25,F26,F27,F28,F29,F32,F33,F34,F37,F40,F41,F42)</f>
        <v>-84354790.568595856</v>
      </c>
      <c r="G43" s="717">
        <f>SUM(G6,G13,G18,G19,G20,G21,G22,G23,G24,G25,G26,G27,G28,G29,G32,G33,G34,G37,G40,G41,G42)</f>
        <v>6565489.4160294039</v>
      </c>
      <c r="H43" s="696">
        <f t="shared" si="1"/>
        <v>-77789301.152566448</v>
      </c>
    </row>
    <row r="44" spans="1:8">
      <c r="A44" s="470">
        <v>23</v>
      </c>
      <c r="B44" s="456" t="s">
        <v>810</v>
      </c>
      <c r="C44" s="717">
        <v>-3007498.4066963</v>
      </c>
      <c r="D44" s="717"/>
      <c r="E44" s="696">
        <f t="shared" si="0"/>
        <v>-3007498.4066963</v>
      </c>
      <c r="F44" s="717">
        <v>1751710.7425202499</v>
      </c>
      <c r="G44" s="717"/>
      <c r="H44" s="696">
        <f t="shared" si="1"/>
        <v>1751710.7425202499</v>
      </c>
    </row>
    <row r="45" spans="1:8">
      <c r="A45" s="470">
        <v>24</v>
      </c>
      <c r="B45" s="456" t="s">
        <v>811</v>
      </c>
      <c r="C45" s="717">
        <f>C43-C44</f>
        <v>1158581.3254969101</v>
      </c>
      <c r="D45" s="717">
        <f>D43-D44</f>
        <v>-1120196.1289605433</v>
      </c>
      <c r="E45" s="696">
        <f t="shared" si="0"/>
        <v>38385.196536366828</v>
      </c>
      <c r="F45" s="717">
        <f>F43-F44</f>
        <v>-86106501.311116099</v>
      </c>
      <c r="G45" s="717">
        <f>G43-G44</f>
        <v>6565489.4160294039</v>
      </c>
      <c r="H45" s="696">
        <f t="shared" si="1"/>
        <v>-79541011.895086691</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topLeftCell="A4" zoomScaleNormal="100" workbookViewId="0">
      <selection activeCell="C28" sqref="C28"/>
    </sheetView>
  </sheetViews>
  <sheetFormatPr defaultRowHeight="15"/>
  <cols>
    <col min="1" max="1" width="8.7109375" style="467"/>
    <col min="2" max="2" width="87.7109375" bestFit="1" customWidth="1"/>
    <col min="3" max="3" width="12.7109375" customWidth="1"/>
    <col min="4" max="4" width="14.28515625" bestFit="1" customWidth="1"/>
    <col min="5" max="5" width="14" bestFit="1" customWidth="1"/>
    <col min="6" max="6" width="12.7109375" customWidth="1"/>
    <col min="7" max="7" width="14" bestFit="1" customWidth="1"/>
    <col min="8" max="8" width="13.7109375" bestFit="1" customWidth="1"/>
  </cols>
  <sheetData>
    <row r="1" spans="1:8" ht="15.75">
      <c r="A1" s="17" t="s">
        <v>108</v>
      </c>
      <c r="B1" s="316" t="str">
        <f>Info!C2</f>
        <v>JSC "VTB Bank (Georgia)"</v>
      </c>
      <c r="C1" s="16"/>
      <c r="D1" s="233"/>
      <c r="E1" s="233"/>
      <c r="F1" s="233"/>
      <c r="G1" s="233"/>
    </row>
    <row r="2" spans="1:8" ht="15.75">
      <c r="A2" s="17" t="s">
        <v>109</v>
      </c>
      <c r="B2" s="347">
        <f>Info!D2</f>
        <v>45291</v>
      </c>
      <c r="C2" s="29"/>
      <c r="D2" s="18"/>
      <c r="E2" s="18"/>
      <c r="F2" s="18"/>
      <c r="G2" s="18"/>
      <c r="H2" s="1"/>
    </row>
    <row r="3" spans="1:8" ht="16.5" thickBot="1">
      <c r="A3" s="17"/>
      <c r="B3" s="16"/>
      <c r="C3" s="29"/>
      <c r="D3" s="18"/>
      <c r="E3" s="18"/>
      <c r="F3" s="18"/>
      <c r="G3" s="18"/>
      <c r="H3" s="1"/>
    </row>
    <row r="4" spans="1:8" ht="15.75">
      <c r="A4" s="788" t="s">
        <v>25</v>
      </c>
      <c r="B4" s="800" t="s">
        <v>151</v>
      </c>
      <c r="C4" s="801" t="s">
        <v>114</v>
      </c>
      <c r="D4" s="801"/>
      <c r="E4" s="801"/>
      <c r="F4" s="801" t="s">
        <v>115</v>
      </c>
      <c r="G4" s="801"/>
      <c r="H4" s="802"/>
    </row>
    <row r="5" spans="1:8">
      <c r="A5" s="788"/>
      <c r="B5" s="800"/>
      <c r="C5" s="443" t="s">
        <v>26</v>
      </c>
      <c r="D5" s="443" t="s">
        <v>88</v>
      </c>
      <c r="E5" s="443" t="s">
        <v>66</v>
      </c>
      <c r="F5" s="443" t="s">
        <v>26</v>
      </c>
      <c r="G5" s="443" t="s">
        <v>88</v>
      </c>
      <c r="H5" s="457" t="s">
        <v>66</v>
      </c>
    </row>
    <row r="6" spans="1:8" ht="15.75">
      <c r="A6" s="458">
        <v>1</v>
      </c>
      <c r="B6" s="459" t="s">
        <v>812</v>
      </c>
      <c r="C6" s="772"/>
      <c r="D6" s="772"/>
      <c r="E6" s="773">
        <f t="shared" ref="E6:E43" si="0">C6+D6</f>
        <v>0</v>
      </c>
      <c r="F6" s="772"/>
      <c r="G6" s="772"/>
      <c r="H6" s="774">
        <f t="shared" ref="H6:H43" si="1">F6+G6</f>
        <v>0</v>
      </c>
    </row>
    <row r="7" spans="1:8" ht="28.15" customHeight="1">
      <c r="A7" s="458">
        <v>2</v>
      </c>
      <c r="B7" s="459" t="s">
        <v>177</v>
      </c>
      <c r="C7" s="772"/>
      <c r="D7" s="772"/>
      <c r="E7" s="773">
        <f t="shared" si="0"/>
        <v>0</v>
      </c>
      <c r="F7" s="772"/>
      <c r="G7" s="772"/>
      <c r="H7" s="774">
        <f t="shared" si="1"/>
        <v>0</v>
      </c>
    </row>
    <row r="8" spans="1:8" ht="15.75">
      <c r="A8" s="458">
        <v>3</v>
      </c>
      <c r="B8" s="459" t="s">
        <v>179</v>
      </c>
      <c r="C8" s="772">
        <f>C9+C10</f>
        <v>57948121</v>
      </c>
      <c r="D8" s="772">
        <f>D9+D10</f>
        <v>3359450395</v>
      </c>
      <c r="E8" s="773">
        <f t="shared" si="0"/>
        <v>3417398516</v>
      </c>
      <c r="F8" s="772">
        <f>F9+F10</f>
        <v>76678560</v>
      </c>
      <c r="G8" s="772">
        <f>G9+G10</f>
        <v>5009899621</v>
      </c>
      <c r="H8" s="774">
        <f t="shared" si="1"/>
        <v>5086578181</v>
      </c>
    </row>
    <row r="9" spans="1:8" ht="15.75">
      <c r="A9" s="458">
        <v>3.1</v>
      </c>
      <c r="B9" s="460" t="s">
        <v>813</v>
      </c>
      <c r="C9" s="772">
        <v>57948121</v>
      </c>
      <c r="D9" s="772">
        <v>3346425899.7399998</v>
      </c>
      <c r="E9" s="773">
        <f t="shared" si="0"/>
        <v>3404374020.7399998</v>
      </c>
      <c r="F9" s="772">
        <v>76678560</v>
      </c>
      <c r="G9" s="772">
        <v>4955859621</v>
      </c>
      <c r="H9" s="774">
        <f t="shared" si="1"/>
        <v>5032538181</v>
      </c>
    </row>
    <row r="10" spans="1:8" ht="15.75">
      <c r="A10" s="458">
        <v>3.2</v>
      </c>
      <c r="B10" s="460" t="s">
        <v>814</v>
      </c>
      <c r="C10" s="772">
        <v>0</v>
      </c>
      <c r="D10" s="772">
        <v>13024495.26</v>
      </c>
      <c r="E10" s="773">
        <f t="shared" si="0"/>
        <v>13024495.26</v>
      </c>
      <c r="F10" s="772">
        <v>0</v>
      </c>
      <c r="G10" s="772">
        <v>54040000</v>
      </c>
      <c r="H10" s="774">
        <f t="shared" si="1"/>
        <v>54040000</v>
      </c>
    </row>
    <row r="11" spans="1:8" ht="25.5">
      <c r="A11" s="458">
        <v>4</v>
      </c>
      <c r="B11" s="459" t="s">
        <v>178</v>
      </c>
      <c r="C11" s="772">
        <f>C12+C13</f>
        <v>0</v>
      </c>
      <c r="D11" s="772">
        <f>D12+D13</f>
        <v>0</v>
      </c>
      <c r="E11" s="773">
        <f t="shared" si="0"/>
        <v>0</v>
      </c>
      <c r="F11" s="772">
        <f>F12+F13</f>
        <v>0</v>
      </c>
      <c r="G11" s="772">
        <f>G12+G13</f>
        <v>0</v>
      </c>
      <c r="H11" s="774">
        <f t="shared" si="1"/>
        <v>0</v>
      </c>
    </row>
    <row r="12" spans="1:8" ht="15.75">
      <c r="A12" s="458">
        <v>4.0999999999999996</v>
      </c>
      <c r="B12" s="460" t="s">
        <v>815</v>
      </c>
      <c r="C12" s="772"/>
      <c r="D12" s="772"/>
      <c r="E12" s="773">
        <f t="shared" si="0"/>
        <v>0</v>
      </c>
      <c r="F12" s="772"/>
      <c r="G12" s="772"/>
      <c r="H12" s="774">
        <f t="shared" si="1"/>
        <v>0</v>
      </c>
    </row>
    <row r="13" spans="1:8" ht="15.75">
      <c r="A13" s="458">
        <v>4.2</v>
      </c>
      <c r="B13" s="460" t="s">
        <v>816</v>
      </c>
      <c r="C13" s="772"/>
      <c r="D13" s="772"/>
      <c r="E13" s="773">
        <f t="shared" si="0"/>
        <v>0</v>
      </c>
      <c r="F13" s="772"/>
      <c r="G13" s="772"/>
      <c r="H13" s="774">
        <f t="shared" si="1"/>
        <v>0</v>
      </c>
    </row>
    <row r="14" spans="1:8" ht="15.75">
      <c r="A14" s="458">
        <v>5</v>
      </c>
      <c r="B14" s="461" t="s">
        <v>817</v>
      </c>
      <c r="C14" s="772">
        <f>C15+C16+C17+C23+C24+C25+C26</f>
        <v>26707148.390000001</v>
      </c>
      <c r="D14" s="772">
        <f>D15+D16+D17+D23+D24+D25+D26</f>
        <v>629929879.66229987</v>
      </c>
      <c r="E14" s="773">
        <f t="shared" si="0"/>
        <v>656637028.05229986</v>
      </c>
      <c r="F14" s="772">
        <f>F15+F16+F17+F23+F24+F25+F26</f>
        <v>31375483</v>
      </c>
      <c r="G14" s="772">
        <f>G15+G16+G17+G23+G24+G25+G26</f>
        <v>1874972459</v>
      </c>
      <c r="H14" s="774">
        <f t="shared" si="1"/>
        <v>1906347942</v>
      </c>
    </row>
    <row r="15" spans="1:8" ht="15.75">
      <c r="A15" s="458">
        <v>5.0999999999999996</v>
      </c>
      <c r="B15" s="462" t="s">
        <v>818</v>
      </c>
      <c r="C15" s="772">
        <v>2649368.39</v>
      </c>
      <c r="D15" s="772">
        <v>609124.22309999994</v>
      </c>
      <c r="E15" s="773">
        <f t="shared" si="0"/>
        <v>3258492.6131000002</v>
      </c>
      <c r="F15" s="772">
        <v>2739368</v>
      </c>
      <c r="G15" s="772">
        <v>837595</v>
      </c>
      <c r="H15" s="774">
        <f t="shared" si="1"/>
        <v>3576963</v>
      </c>
    </row>
    <row r="16" spans="1:8" ht="15.75">
      <c r="A16" s="458">
        <v>5.2</v>
      </c>
      <c r="B16" s="462" t="s">
        <v>819</v>
      </c>
      <c r="C16" s="772">
        <v>0</v>
      </c>
      <c r="D16" s="772">
        <v>71934.807199999996</v>
      </c>
      <c r="E16" s="773">
        <f t="shared" si="0"/>
        <v>71934.807199999996</v>
      </c>
      <c r="F16" s="772">
        <v>0</v>
      </c>
      <c r="G16" s="772">
        <v>82817</v>
      </c>
      <c r="H16" s="774">
        <f t="shared" si="1"/>
        <v>82817</v>
      </c>
    </row>
    <row r="17" spans="1:8" ht="15.75">
      <c r="A17" s="458">
        <v>5.3</v>
      </c>
      <c r="B17" s="462" t="s">
        <v>820</v>
      </c>
      <c r="C17" s="772">
        <v>23225400</v>
      </c>
      <c r="D17" s="772">
        <v>411012742.85259998</v>
      </c>
      <c r="E17" s="773">
        <f t="shared" si="0"/>
        <v>434238142.85259998</v>
      </c>
      <c r="F17" s="772">
        <v>23253400</v>
      </c>
      <c r="G17" s="772">
        <v>691824236</v>
      </c>
      <c r="H17" s="774">
        <f t="shared" si="1"/>
        <v>715077636</v>
      </c>
    </row>
    <row r="18" spans="1:8" ht="15.75">
      <c r="A18" s="458" t="s">
        <v>180</v>
      </c>
      <c r="B18" s="463" t="s">
        <v>821</v>
      </c>
      <c r="C18" s="772">
        <v>138000</v>
      </c>
      <c r="D18" s="772">
        <v>34466005.700000003</v>
      </c>
      <c r="E18" s="773">
        <f t="shared" si="0"/>
        <v>34604005.700000003</v>
      </c>
      <c r="F18" s="772">
        <v>166000</v>
      </c>
      <c r="G18" s="772">
        <v>85917196</v>
      </c>
      <c r="H18" s="774">
        <f t="shared" si="1"/>
        <v>86083196</v>
      </c>
    </row>
    <row r="19" spans="1:8" ht="15.75">
      <c r="A19" s="458" t="s">
        <v>181</v>
      </c>
      <c r="B19" s="464" t="s">
        <v>822</v>
      </c>
      <c r="C19" s="772">
        <v>23074400</v>
      </c>
      <c r="D19" s="772">
        <v>272751148.74000001</v>
      </c>
      <c r="E19" s="773">
        <f t="shared" si="0"/>
        <v>295825548.74000001</v>
      </c>
      <c r="F19" s="772">
        <v>23074400</v>
      </c>
      <c r="G19" s="772">
        <v>470466623</v>
      </c>
      <c r="H19" s="774">
        <f t="shared" si="1"/>
        <v>493541023</v>
      </c>
    </row>
    <row r="20" spans="1:8" ht="15.75">
      <c r="A20" s="458" t="s">
        <v>182</v>
      </c>
      <c r="B20" s="464" t="s">
        <v>823</v>
      </c>
      <c r="C20" s="772">
        <v>0</v>
      </c>
      <c r="D20" s="772">
        <v>17771555.199999999</v>
      </c>
      <c r="E20" s="773">
        <f t="shared" si="0"/>
        <v>17771555.199999999</v>
      </c>
      <c r="F20" s="772">
        <v>0</v>
      </c>
      <c r="G20" s="772">
        <v>17854816</v>
      </c>
      <c r="H20" s="774">
        <f t="shared" si="1"/>
        <v>17854816</v>
      </c>
    </row>
    <row r="21" spans="1:8" ht="15.75">
      <c r="A21" s="458" t="s">
        <v>183</v>
      </c>
      <c r="B21" s="464" t="s">
        <v>824</v>
      </c>
      <c r="C21" s="772">
        <v>13000</v>
      </c>
      <c r="D21" s="772">
        <v>44729635.533799998</v>
      </c>
      <c r="E21" s="773">
        <f t="shared" si="0"/>
        <v>44742635.533799998</v>
      </c>
      <c r="F21" s="772">
        <v>13000</v>
      </c>
      <c r="G21" s="772">
        <v>58026760</v>
      </c>
      <c r="H21" s="774">
        <f t="shared" si="1"/>
        <v>58039760</v>
      </c>
    </row>
    <row r="22" spans="1:8" ht="15.75">
      <c r="A22" s="458" t="s">
        <v>184</v>
      </c>
      <c r="B22" s="464" t="s">
        <v>541</v>
      </c>
      <c r="C22" s="772">
        <v>0</v>
      </c>
      <c r="D22" s="772">
        <v>41294397.678800002</v>
      </c>
      <c r="E22" s="773">
        <f t="shared" si="0"/>
        <v>41294397.678800002</v>
      </c>
      <c r="F22" s="772">
        <v>0</v>
      </c>
      <c r="G22" s="772">
        <v>59558840</v>
      </c>
      <c r="H22" s="774">
        <f t="shared" si="1"/>
        <v>59558840</v>
      </c>
    </row>
    <row r="23" spans="1:8" ht="15.75">
      <c r="A23" s="458">
        <v>5.4</v>
      </c>
      <c r="B23" s="462" t="s">
        <v>825</v>
      </c>
      <c r="C23" s="772">
        <v>804767</v>
      </c>
      <c r="D23" s="772">
        <v>156532163.81729999</v>
      </c>
      <c r="E23" s="773">
        <f t="shared" si="0"/>
        <v>157336930.81729999</v>
      </c>
      <c r="F23" s="772">
        <v>4355102</v>
      </c>
      <c r="G23" s="772">
        <v>168320210</v>
      </c>
      <c r="H23" s="774">
        <f t="shared" si="1"/>
        <v>172675312</v>
      </c>
    </row>
    <row r="24" spans="1:8" ht="15.75">
      <c r="A24" s="458">
        <v>5.5</v>
      </c>
      <c r="B24" s="462" t="s">
        <v>826</v>
      </c>
      <c r="C24" s="772">
        <v>5</v>
      </c>
      <c r="D24" s="772">
        <v>53788002.689400002</v>
      </c>
      <c r="E24" s="773">
        <f t="shared" si="0"/>
        <v>53788007.689400002</v>
      </c>
      <c r="F24" s="772">
        <v>5</v>
      </c>
      <c r="G24" s="772">
        <v>451234003</v>
      </c>
      <c r="H24" s="774">
        <f t="shared" si="1"/>
        <v>451234008</v>
      </c>
    </row>
    <row r="25" spans="1:8" ht="15.75">
      <c r="A25" s="458">
        <v>5.6</v>
      </c>
      <c r="B25" s="462" t="s">
        <v>827</v>
      </c>
      <c r="C25" s="772">
        <v>0</v>
      </c>
      <c r="D25" s="772">
        <v>7530320</v>
      </c>
      <c r="E25" s="773">
        <f t="shared" si="0"/>
        <v>7530320</v>
      </c>
      <c r="F25" s="772">
        <v>0</v>
      </c>
      <c r="G25" s="772">
        <v>562286200</v>
      </c>
      <c r="H25" s="774">
        <f t="shared" si="1"/>
        <v>562286200</v>
      </c>
    </row>
    <row r="26" spans="1:8" ht="15.75">
      <c r="A26" s="458">
        <v>5.7</v>
      </c>
      <c r="B26" s="462" t="s">
        <v>541</v>
      </c>
      <c r="C26" s="772">
        <v>27608</v>
      </c>
      <c r="D26" s="772">
        <v>385591.27269999997</v>
      </c>
      <c r="E26" s="773">
        <f t="shared" si="0"/>
        <v>413199.27269999997</v>
      </c>
      <c r="F26" s="772">
        <v>1027608</v>
      </c>
      <c r="G26" s="772">
        <v>387398</v>
      </c>
      <c r="H26" s="774">
        <f t="shared" si="1"/>
        <v>1415006</v>
      </c>
    </row>
    <row r="27" spans="1:8" ht="15.75">
      <c r="A27" s="458">
        <v>6</v>
      </c>
      <c r="B27" s="461" t="s">
        <v>828</v>
      </c>
      <c r="C27" s="772"/>
      <c r="D27" s="772"/>
      <c r="E27" s="773">
        <f t="shared" si="0"/>
        <v>0</v>
      </c>
      <c r="F27" s="772"/>
      <c r="G27" s="772"/>
      <c r="H27" s="774">
        <f t="shared" si="1"/>
        <v>0</v>
      </c>
    </row>
    <row r="28" spans="1:8" ht="15.75">
      <c r="A28" s="458">
        <v>7</v>
      </c>
      <c r="B28" s="461" t="s">
        <v>829</v>
      </c>
      <c r="C28" s="772">
        <f>2858445+47145.18</f>
        <v>2905590.18</v>
      </c>
      <c r="D28" s="772">
        <v>15568</v>
      </c>
      <c r="E28" s="773">
        <f t="shared" si="0"/>
        <v>2921158.18</v>
      </c>
      <c r="F28" s="772">
        <v>16476840</v>
      </c>
      <c r="G28" s="772">
        <v>18823943</v>
      </c>
      <c r="H28" s="774">
        <f t="shared" si="1"/>
        <v>35300783</v>
      </c>
    </row>
    <row r="29" spans="1:8" ht="15.75">
      <c r="A29" s="458">
        <v>8</v>
      </c>
      <c r="B29" s="461" t="s">
        <v>830</v>
      </c>
      <c r="C29" s="772"/>
      <c r="D29" s="772"/>
      <c r="E29" s="773">
        <f t="shared" si="0"/>
        <v>0</v>
      </c>
      <c r="F29" s="772"/>
      <c r="G29" s="772"/>
      <c r="H29" s="774">
        <f t="shared" si="1"/>
        <v>0</v>
      </c>
    </row>
    <row r="30" spans="1:8" ht="15.75">
      <c r="A30" s="458">
        <v>9</v>
      </c>
      <c r="B30" s="459" t="s">
        <v>185</v>
      </c>
      <c r="C30" s="772">
        <f>C31+C32+C33+C34+C35+C36+C37</f>
        <v>0</v>
      </c>
      <c r="D30" s="772">
        <f>D31+D32+D33+D34+D35+D36+D37</f>
        <v>0</v>
      </c>
      <c r="E30" s="773">
        <f t="shared" si="0"/>
        <v>0</v>
      </c>
      <c r="F30" s="772">
        <f>F31+F32+F33+F34+F35+F36+F37</f>
        <v>0</v>
      </c>
      <c r="G30" s="772">
        <f>G31+G32+G33+G34+G35+G36+G37</f>
        <v>0</v>
      </c>
      <c r="H30" s="774">
        <f t="shared" si="1"/>
        <v>0</v>
      </c>
    </row>
    <row r="31" spans="1:8" ht="25.5">
      <c r="A31" s="458">
        <v>9.1</v>
      </c>
      <c r="B31" s="460" t="s">
        <v>831</v>
      </c>
      <c r="C31" s="772"/>
      <c r="D31" s="772"/>
      <c r="E31" s="773">
        <f t="shared" si="0"/>
        <v>0</v>
      </c>
      <c r="F31" s="772"/>
      <c r="G31" s="772"/>
      <c r="H31" s="774">
        <f t="shared" si="1"/>
        <v>0</v>
      </c>
    </row>
    <row r="32" spans="1:8" ht="25.5">
      <c r="A32" s="458">
        <v>9.1999999999999993</v>
      </c>
      <c r="B32" s="460" t="s">
        <v>832</v>
      </c>
      <c r="C32" s="772"/>
      <c r="D32" s="772"/>
      <c r="E32" s="773">
        <f t="shared" si="0"/>
        <v>0</v>
      </c>
      <c r="F32" s="772"/>
      <c r="G32" s="772"/>
      <c r="H32" s="774">
        <f t="shared" si="1"/>
        <v>0</v>
      </c>
    </row>
    <row r="33" spans="1:8" ht="25.5">
      <c r="A33" s="458">
        <v>9.3000000000000007</v>
      </c>
      <c r="B33" s="460" t="s">
        <v>833</v>
      </c>
      <c r="C33" s="772"/>
      <c r="D33" s="772"/>
      <c r="E33" s="773">
        <f t="shared" si="0"/>
        <v>0</v>
      </c>
      <c r="F33" s="772"/>
      <c r="G33" s="772"/>
      <c r="H33" s="774">
        <f t="shared" si="1"/>
        <v>0</v>
      </c>
    </row>
    <row r="34" spans="1:8" ht="15.75">
      <c r="A34" s="458">
        <v>9.4</v>
      </c>
      <c r="B34" s="460" t="s">
        <v>834</v>
      </c>
      <c r="C34" s="772"/>
      <c r="D34" s="772"/>
      <c r="E34" s="773">
        <f t="shared" si="0"/>
        <v>0</v>
      </c>
      <c r="F34" s="772"/>
      <c r="G34" s="772"/>
      <c r="H34" s="774">
        <f t="shared" si="1"/>
        <v>0</v>
      </c>
    </row>
    <row r="35" spans="1:8" ht="15.75">
      <c r="A35" s="458">
        <v>9.5</v>
      </c>
      <c r="B35" s="460" t="s">
        <v>835</v>
      </c>
      <c r="C35" s="772"/>
      <c r="D35" s="772"/>
      <c r="E35" s="773">
        <f t="shared" si="0"/>
        <v>0</v>
      </c>
      <c r="F35" s="772"/>
      <c r="G35" s="772"/>
      <c r="H35" s="774">
        <f t="shared" si="1"/>
        <v>0</v>
      </c>
    </row>
    <row r="36" spans="1:8" ht="25.5">
      <c r="A36" s="458">
        <v>9.6</v>
      </c>
      <c r="B36" s="460" t="s">
        <v>836</v>
      </c>
      <c r="C36" s="772"/>
      <c r="D36" s="772"/>
      <c r="E36" s="773">
        <f t="shared" si="0"/>
        <v>0</v>
      </c>
      <c r="F36" s="772"/>
      <c r="G36" s="772"/>
      <c r="H36" s="774">
        <f t="shared" si="1"/>
        <v>0</v>
      </c>
    </row>
    <row r="37" spans="1:8" ht="25.5">
      <c r="A37" s="458">
        <v>9.6999999999999993</v>
      </c>
      <c r="B37" s="460" t="s">
        <v>837</v>
      </c>
      <c r="C37" s="772"/>
      <c r="D37" s="772"/>
      <c r="E37" s="773">
        <f t="shared" si="0"/>
        <v>0</v>
      </c>
      <c r="F37" s="772"/>
      <c r="G37" s="772"/>
      <c r="H37" s="774">
        <f t="shared" si="1"/>
        <v>0</v>
      </c>
    </row>
    <row r="38" spans="1:8" ht="15.75">
      <c r="A38" s="458">
        <v>10</v>
      </c>
      <c r="B38" s="465" t="s">
        <v>838</v>
      </c>
      <c r="C38" s="772">
        <f>C39+C40+C41+C42</f>
        <v>18651759.170000002</v>
      </c>
      <c r="D38" s="772">
        <f>D39+D40+D41+D42</f>
        <v>8350987.4499999993</v>
      </c>
      <c r="E38" s="773">
        <f t="shared" si="0"/>
        <v>27002746.620000001</v>
      </c>
      <c r="F38" s="772">
        <f>F39+F40+F41+F42</f>
        <v>15672118.07</v>
      </c>
      <c r="G38" s="772">
        <f>G39+G40+G41+G42</f>
        <v>4750606.1500000004</v>
      </c>
      <c r="H38" s="774">
        <f t="shared" si="1"/>
        <v>20422724.219999999</v>
      </c>
    </row>
    <row r="39" spans="1:8" ht="15.75">
      <c r="A39" s="458">
        <v>10.1</v>
      </c>
      <c r="B39" s="460" t="s">
        <v>839</v>
      </c>
      <c r="C39" s="772">
        <v>0</v>
      </c>
      <c r="D39" s="772">
        <v>0</v>
      </c>
      <c r="E39" s="773">
        <f t="shared" si="0"/>
        <v>0</v>
      </c>
      <c r="F39" s="772">
        <v>14876</v>
      </c>
      <c r="G39" s="772">
        <v>0</v>
      </c>
      <c r="H39" s="774">
        <f t="shared" si="1"/>
        <v>14876</v>
      </c>
    </row>
    <row r="40" spans="1:8" ht="25.5">
      <c r="A40" s="458">
        <v>10.199999999999999</v>
      </c>
      <c r="B40" s="460" t="s">
        <v>840</v>
      </c>
      <c r="C40" s="772">
        <v>0</v>
      </c>
      <c r="D40" s="772">
        <v>0</v>
      </c>
      <c r="E40" s="773">
        <f t="shared" si="0"/>
        <v>0</v>
      </c>
      <c r="F40" s="772">
        <v>20</v>
      </c>
      <c r="G40" s="772">
        <v>0</v>
      </c>
      <c r="H40" s="774">
        <f t="shared" si="1"/>
        <v>20</v>
      </c>
    </row>
    <row r="41" spans="1:8" ht="25.5">
      <c r="A41" s="458">
        <v>10.3</v>
      </c>
      <c r="B41" s="460" t="s">
        <v>841</v>
      </c>
      <c r="C41" s="772">
        <v>11165789.6</v>
      </c>
      <c r="D41" s="772">
        <v>1843471.6799999997</v>
      </c>
      <c r="E41" s="773">
        <f t="shared" si="0"/>
        <v>13009261.279999999</v>
      </c>
      <c r="F41" s="772">
        <v>11168129.75</v>
      </c>
      <c r="G41" s="772">
        <v>1881074.7100000009</v>
      </c>
      <c r="H41" s="774">
        <f t="shared" si="1"/>
        <v>13049204.460000001</v>
      </c>
    </row>
    <row r="42" spans="1:8" ht="25.5">
      <c r="A42" s="458">
        <v>10.4</v>
      </c>
      <c r="B42" s="460" t="s">
        <v>842</v>
      </c>
      <c r="C42" s="772">
        <v>7485969.5700000003</v>
      </c>
      <c r="D42" s="772">
        <v>6507515.7699999996</v>
      </c>
      <c r="E42" s="773">
        <f t="shared" si="0"/>
        <v>13993485.34</v>
      </c>
      <c r="F42" s="772">
        <v>4489092.32</v>
      </c>
      <c r="G42" s="772">
        <v>2869531.4399999995</v>
      </c>
      <c r="H42" s="774">
        <f t="shared" si="1"/>
        <v>7358623.7599999998</v>
      </c>
    </row>
    <row r="43" spans="1:8" ht="15.75">
      <c r="A43" s="458">
        <v>11</v>
      </c>
      <c r="B43" s="466" t="s">
        <v>186</v>
      </c>
      <c r="C43" s="772"/>
      <c r="D43" s="772"/>
      <c r="E43" s="773">
        <f t="shared" si="0"/>
        <v>0</v>
      </c>
      <c r="F43" s="772"/>
      <c r="G43" s="772"/>
      <c r="H43" s="774">
        <f t="shared" si="1"/>
        <v>0</v>
      </c>
    </row>
    <row r="44" spans="1:8" ht="15.75">
      <c r="C44" s="468"/>
      <c r="D44" s="468"/>
      <c r="E44" s="468"/>
      <c r="F44" s="468"/>
      <c r="G44" s="468"/>
      <c r="H44" s="468"/>
    </row>
    <row r="45" spans="1:8" ht="15.75">
      <c r="C45" s="468"/>
      <c r="D45" s="468"/>
      <c r="E45" s="468"/>
      <c r="F45" s="468"/>
      <c r="G45" s="468"/>
      <c r="H45" s="468"/>
    </row>
    <row r="46" spans="1:8" ht="15.75">
      <c r="C46" s="468"/>
      <c r="D46" s="468"/>
      <c r="E46" s="468"/>
      <c r="F46" s="468"/>
      <c r="G46" s="468"/>
      <c r="H46" s="468"/>
    </row>
    <row r="47" spans="1:8" ht="15.75">
      <c r="C47" s="468"/>
      <c r="D47" s="468"/>
      <c r="E47" s="468"/>
      <c r="F47" s="468"/>
      <c r="G47" s="468"/>
      <c r="H47" s="46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C7" sqref="C7:G12"/>
    </sheetView>
  </sheetViews>
  <sheetFormatPr defaultColWidth="9.28515625" defaultRowHeight="12.75"/>
  <cols>
    <col min="1" max="1" width="9.5703125" style="2" bestFit="1" customWidth="1"/>
    <col min="2" max="2" width="93.5703125" style="2" customWidth="1"/>
    <col min="3" max="3" width="16.28515625" style="2" customWidth="1"/>
    <col min="4" max="4" width="15.42578125" style="2" customWidth="1"/>
    <col min="5" max="7" width="15.42578125" style="12" customWidth="1"/>
    <col min="8" max="11" width="9.7109375" style="12" customWidth="1"/>
    <col min="12" max="16384" width="9.28515625" style="12"/>
  </cols>
  <sheetData>
    <row r="1" spans="1:8" ht="15">
      <c r="A1" s="17" t="s">
        <v>108</v>
      </c>
      <c r="B1" s="16" t="str">
        <f>Info!C2</f>
        <v>JSC "VTB Bank (Georgia)"</v>
      </c>
      <c r="C1" s="16"/>
      <c r="D1" s="233"/>
    </row>
    <row r="2" spans="1:8" ht="15">
      <c r="A2" s="17" t="s">
        <v>109</v>
      </c>
      <c r="B2" s="347">
        <f>Info!D2</f>
        <v>45291</v>
      </c>
      <c r="C2" s="29"/>
      <c r="D2" s="18"/>
      <c r="E2" s="11"/>
      <c r="F2" s="11"/>
      <c r="G2" s="11"/>
      <c r="H2" s="11"/>
    </row>
    <row r="3" spans="1:8" ht="15.75" thickBot="1">
      <c r="A3" s="17"/>
      <c r="B3" s="16"/>
      <c r="C3" s="29"/>
      <c r="D3" s="18"/>
      <c r="E3" s="11"/>
      <c r="F3" s="11"/>
      <c r="G3" s="11"/>
      <c r="H3" s="11"/>
    </row>
    <row r="4" spans="1:8" ht="20.45" customHeight="1" thickBot="1">
      <c r="A4" s="154" t="s">
        <v>253</v>
      </c>
      <c r="B4" s="155" t="s">
        <v>107</v>
      </c>
      <c r="C4" s="718" t="s">
        <v>87</v>
      </c>
      <c r="D4" s="803" t="s">
        <v>986</v>
      </c>
      <c r="E4" s="804"/>
      <c r="F4" s="804"/>
      <c r="G4" s="805"/>
    </row>
    <row r="5" spans="1:8" ht="15" customHeight="1">
      <c r="A5" s="152" t="s">
        <v>25</v>
      </c>
      <c r="B5" s="153"/>
      <c r="C5" s="337" t="str">
        <f>INT((MONTH($B$2))/3)&amp;"Q"&amp;"-"&amp;YEAR($B$2)</f>
        <v>4Q-2023</v>
      </c>
      <c r="D5" s="337" t="str">
        <f>IF(INT(MONTH($B$2))=3, "4"&amp;"Q"&amp;"-"&amp;YEAR($B$2)-1, IF(INT(MONTH($B$2))=6, "1"&amp;"Q"&amp;"-"&amp;YEAR($B$2), IF(INT(MONTH($B$2))=9, "2"&amp;"Q"&amp;"-"&amp;YEAR($B$2),IF(INT(MONTH($B$2))=12, "3"&amp;"Q"&amp;"-"&amp;YEAR($B$2), 0))))</f>
        <v>3Q-2023</v>
      </c>
      <c r="E5" s="337" t="str">
        <f>IF(INT(MONTH($B$2))=3, "3"&amp;"Q"&amp;"-"&amp;YEAR($B$2)-1, IF(INT(MONTH($B$2))=6, "4"&amp;"Q"&amp;"-"&amp;YEAR($B$2)-1, IF(INT(MONTH($B$2))=9, "1"&amp;"Q"&amp;"-"&amp;YEAR($B$2),IF(INT(MONTH($B$2))=12, "2"&amp;"Q"&amp;"-"&amp;YEAR($B$2), 0))))</f>
        <v>2Q-2023</v>
      </c>
      <c r="F5" s="337" t="str">
        <f>IF(INT(MONTH($B$2))=3, "2"&amp;"Q"&amp;"-"&amp;YEAR($B$2)-1, IF(INT(MONTH($B$2))=6, "3"&amp;"Q"&amp;"-"&amp;YEAR($B$2)-1, IF(INT(MONTH($B$2))=9, "4"&amp;"Q"&amp;"-"&amp;YEAR($B$2)-1,IF(INT(MONTH($B$2))=12, "1"&amp;"Q"&amp;"-"&amp;YEAR($B$2), 0))))</f>
        <v>1Q-2023</v>
      </c>
      <c r="G5" s="337" t="str">
        <f>IF(INT(MONTH($B$2))=3, "1"&amp;"Q"&amp;"-"&amp;YEAR($B$2)-1, IF(INT(MONTH($B$2))=6, "2"&amp;"Q"&amp;"-"&amp;YEAR($B$2)-1, IF(INT(MONTH($B$2))=9, "3"&amp;"Q"&amp;"-"&amp;YEAR($B$2)-1,IF(INT(MONTH($B$2))=12, "4"&amp;"Q"&amp;"-"&amp;YEAR($B$2)-1, 0))))</f>
        <v>4Q-2022</v>
      </c>
    </row>
    <row r="6" spans="1:8" ht="15" customHeight="1">
      <c r="A6" s="269">
        <v>1</v>
      </c>
      <c r="B6" s="323" t="s">
        <v>112</v>
      </c>
      <c r="C6" s="270">
        <f>C7+C9+C10</f>
        <v>309295514.42153382</v>
      </c>
      <c r="D6" s="326">
        <f>D7+D9+D10</f>
        <v>262738589</v>
      </c>
      <c r="E6" s="271">
        <f t="shared" ref="E6:G6" si="0">E7+E9+E10</f>
        <v>284906995</v>
      </c>
      <c r="F6" s="270">
        <f t="shared" si="0"/>
        <v>325940620</v>
      </c>
      <c r="G6" s="327">
        <f t="shared" si="0"/>
        <v>325185657</v>
      </c>
    </row>
    <row r="7" spans="1:8" ht="15" customHeight="1">
      <c r="A7" s="269">
        <v>1.1000000000000001</v>
      </c>
      <c r="B7" s="272" t="s">
        <v>436</v>
      </c>
      <c r="C7" s="749">
        <v>309035278.55556041</v>
      </c>
      <c r="D7" s="750">
        <v>252343458</v>
      </c>
      <c r="E7" s="749">
        <v>273879588</v>
      </c>
      <c r="F7" s="749">
        <v>312209883</v>
      </c>
      <c r="G7" s="751">
        <v>308416490</v>
      </c>
    </row>
    <row r="8" spans="1:8" ht="25.5">
      <c r="A8" s="269" t="s">
        <v>157</v>
      </c>
      <c r="B8" s="273" t="s">
        <v>250</v>
      </c>
      <c r="C8" s="749">
        <v>0</v>
      </c>
      <c r="D8" s="750">
        <v>0</v>
      </c>
      <c r="E8" s="749">
        <v>0</v>
      </c>
      <c r="F8" s="749">
        <v>21168999</v>
      </c>
      <c r="G8" s="751">
        <v>1142443</v>
      </c>
    </row>
    <row r="9" spans="1:8" ht="15" customHeight="1">
      <c r="A9" s="269">
        <v>1.2</v>
      </c>
      <c r="B9" s="272" t="s">
        <v>21</v>
      </c>
      <c r="C9" s="749">
        <v>260235.86597339273</v>
      </c>
      <c r="D9" s="750">
        <v>10395131</v>
      </c>
      <c r="E9" s="749">
        <v>11027407</v>
      </c>
      <c r="F9" s="749">
        <v>13730737</v>
      </c>
      <c r="G9" s="751">
        <v>16769167</v>
      </c>
    </row>
    <row r="10" spans="1:8" ht="15" customHeight="1">
      <c r="A10" s="269">
        <v>1.3</v>
      </c>
      <c r="B10" s="324" t="s">
        <v>74</v>
      </c>
      <c r="C10" s="752">
        <v>0</v>
      </c>
      <c r="D10" s="750">
        <v>0</v>
      </c>
      <c r="E10" s="752">
        <v>0</v>
      </c>
      <c r="F10" s="749">
        <v>0</v>
      </c>
      <c r="G10" s="753">
        <v>0</v>
      </c>
    </row>
    <row r="11" spans="1:8" ht="15" customHeight="1">
      <c r="A11" s="269">
        <v>2</v>
      </c>
      <c r="B11" s="323" t="s">
        <v>113</v>
      </c>
      <c r="C11" s="749">
        <v>180456807.7795555</v>
      </c>
      <c r="D11" s="750">
        <v>169667044</v>
      </c>
      <c r="E11" s="749">
        <v>166490569</v>
      </c>
      <c r="F11" s="749">
        <v>160934422</v>
      </c>
      <c r="G11" s="751">
        <v>169201172</v>
      </c>
    </row>
    <row r="12" spans="1:8" ht="15" customHeight="1">
      <c r="A12" s="283">
        <v>3</v>
      </c>
      <c r="B12" s="325" t="s">
        <v>111</v>
      </c>
      <c r="C12" s="752">
        <v>94935796.149143949</v>
      </c>
      <c r="D12" s="750">
        <v>127656077</v>
      </c>
      <c r="E12" s="752">
        <v>127656077</v>
      </c>
      <c r="F12" s="749">
        <v>127656077</v>
      </c>
      <c r="G12" s="753">
        <v>127656077</v>
      </c>
    </row>
    <row r="13" spans="1:8" ht="15" customHeight="1" thickBot="1">
      <c r="A13" s="85">
        <v>4</v>
      </c>
      <c r="B13" s="330" t="s">
        <v>158</v>
      </c>
      <c r="C13" s="173">
        <f>C6+C11+C12</f>
        <v>584688118.35023332</v>
      </c>
      <c r="D13" s="328">
        <f>D6+D11+D12</f>
        <v>560061710</v>
      </c>
      <c r="E13" s="174">
        <f t="shared" ref="E13:G13" si="1">E6+E11+E12</f>
        <v>579053641</v>
      </c>
      <c r="F13" s="173">
        <f t="shared" si="1"/>
        <v>614531119</v>
      </c>
      <c r="G13" s="329">
        <f t="shared" si="1"/>
        <v>622042906</v>
      </c>
    </row>
    <row r="14" spans="1:8">
      <c r="B14" s="23"/>
      <c r="C14" s="680">
        <f>C13-'1. key ratios'!C15</f>
        <v>0</v>
      </c>
    </row>
    <row r="15" spans="1:8" ht="25.5">
      <c r="B15" s="66" t="s">
        <v>437</v>
      </c>
    </row>
    <row r="16" spans="1:8">
      <c r="B16" s="66"/>
    </row>
    <row r="17" spans="2:2" ht="25.5">
      <c r="B17" s="66" t="s">
        <v>985</v>
      </c>
    </row>
    <row r="18" spans="2:2">
      <c r="B18" s="66"/>
    </row>
  </sheetData>
  <mergeCells count="1">
    <mergeCell ref="D4: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activeCell="B2" sqref="B2"/>
      <selection pane="topRight" activeCell="B2" sqref="B2"/>
      <selection pane="bottomLeft" activeCell="B2" sqref="B2"/>
      <selection pane="bottomRight" activeCell="B8" sqref="B8"/>
    </sheetView>
  </sheetViews>
  <sheetFormatPr defaultRowHeight="15"/>
  <cols>
    <col min="1" max="1" width="9.5703125" style="2" bestFit="1" customWidth="1"/>
    <col min="2" max="2" width="58.7109375" style="2" customWidth="1"/>
    <col min="3" max="3" width="34.28515625" style="2" customWidth="1"/>
  </cols>
  <sheetData>
    <row r="1" spans="1:8">
      <c r="A1" s="2" t="s">
        <v>108</v>
      </c>
      <c r="B1" s="233" t="str">
        <f>Info!C2</f>
        <v>JSC "VTB Bank (Georgia)"</v>
      </c>
    </row>
    <row r="2" spans="1:8">
      <c r="A2" s="2" t="s">
        <v>109</v>
      </c>
      <c r="B2" s="347">
        <f>Info!D2</f>
        <v>45291</v>
      </c>
    </row>
    <row r="4" spans="1:8" ht="25.5" customHeight="1" thickBot="1">
      <c r="A4" s="167" t="s">
        <v>254</v>
      </c>
      <c r="B4" s="31" t="s">
        <v>91</v>
      </c>
      <c r="C4" s="13"/>
    </row>
    <row r="5" spans="1:8" ht="15.75">
      <c r="A5" s="10"/>
      <c r="B5" s="318" t="s">
        <v>92</v>
      </c>
      <c r="C5" s="335" t="s">
        <v>450</v>
      </c>
    </row>
    <row r="6" spans="1:8">
      <c r="A6" s="691">
        <v>1</v>
      </c>
      <c r="B6" s="690" t="s">
        <v>964</v>
      </c>
      <c r="C6" s="689" t="s">
        <v>965</v>
      </c>
    </row>
    <row r="7" spans="1:8">
      <c r="A7" s="691">
        <v>2</v>
      </c>
      <c r="B7" s="690" t="s">
        <v>966</v>
      </c>
      <c r="C7" s="689" t="s">
        <v>967</v>
      </c>
    </row>
    <row r="8" spans="1:8">
      <c r="A8" s="691">
        <v>3</v>
      </c>
      <c r="B8" s="690" t="s">
        <v>968</v>
      </c>
      <c r="C8" s="689" t="s">
        <v>967</v>
      </c>
    </row>
    <row r="9" spans="1:8">
      <c r="A9" s="691">
        <v>4</v>
      </c>
      <c r="B9" s="690" t="s">
        <v>969</v>
      </c>
      <c r="C9" s="689" t="s">
        <v>967</v>
      </c>
    </row>
    <row r="10" spans="1:8">
      <c r="A10" s="14">
        <v>5</v>
      </c>
      <c r="B10" s="32"/>
      <c r="C10" s="331"/>
    </row>
    <row r="11" spans="1:8">
      <c r="A11" s="14">
        <v>6</v>
      </c>
      <c r="B11" s="32"/>
      <c r="C11" s="331"/>
    </row>
    <row r="12" spans="1:8">
      <c r="A12" s="14">
        <v>7</v>
      </c>
      <c r="B12" s="32"/>
      <c r="C12" s="331"/>
      <c r="H12" s="4"/>
    </row>
    <row r="13" spans="1:8">
      <c r="A13" s="14">
        <v>8</v>
      </c>
      <c r="B13" s="32"/>
      <c r="C13" s="331"/>
    </row>
    <row r="14" spans="1:8">
      <c r="A14" s="14">
        <v>9</v>
      </c>
      <c r="B14" s="32"/>
      <c r="C14" s="331"/>
    </row>
    <row r="15" spans="1:8">
      <c r="A15" s="14">
        <v>10</v>
      </c>
      <c r="B15" s="32"/>
      <c r="C15" s="331"/>
    </row>
    <row r="16" spans="1:8">
      <c r="A16" s="14"/>
      <c r="B16" s="806"/>
      <c r="C16" s="807"/>
    </row>
    <row r="17" spans="1:3" ht="60">
      <c r="A17" s="14"/>
      <c r="B17" s="319" t="s">
        <v>93</v>
      </c>
      <c r="C17" s="336" t="s">
        <v>451</v>
      </c>
    </row>
    <row r="18" spans="1:3" ht="15.75">
      <c r="A18" s="691">
        <v>1</v>
      </c>
      <c r="B18" s="688" t="s">
        <v>970</v>
      </c>
      <c r="C18" s="687" t="s">
        <v>971</v>
      </c>
    </row>
    <row r="19" spans="1:3" ht="15.75">
      <c r="A19" s="691">
        <v>2</v>
      </c>
      <c r="B19" s="688" t="s">
        <v>972</v>
      </c>
      <c r="C19" s="687" t="s">
        <v>973</v>
      </c>
    </row>
    <row r="20" spans="1:3" ht="15.75">
      <c r="A20" s="691">
        <v>3</v>
      </c>
      <c r="B20" s="688" t="s">
        <v>974</v>
      </c>
      <c r="C20" s="687" t="s">
        <v>975</v>
      </c>
    </row>
    <row r="21" spans="1:3" ht="15.75">
      <c r="A21" s="691">
        <v>4</v>
      </c>
      <c r="B21" s="688" t="s">
        <v>976</v>
      </c>
      <c r="C21" s="687" t="s">
        <v>977</v>
      </c>
    </row>
    <row r="22" spans="1:3" ht="15.75">
      <c r="A22" s="691">
        <v>5</v>
      </c>
      <c r="B22" s="688" t="s">
        <v>978</v>
      </c>
      <c r="C22" s="687" t="s">
        <v>979</v>
      </c>
    </row>
    <row r="23" spans="1:3" ht="15.75">
      <c r="A23" s="691">
        <v>6</v>
      </c>
      <c r="B23" s="688" t="s">
        <v>980</v>
      </c>
      <c r="C23" s="687" t="s">
        <v>981</v>
      </c>
    </row>
    <row r="24" spans="1:3" ht="15.75">
      <c r="A24" s="14">
        <v>7</v>
      </c>
      <c r="B24" s="27"/>
      <c r="C24" s="333"/>
    </row>
    <row r="25" spans="1:3" ht="15.75">
      <c r="A25" s="14">
        <v>8</v>
      </c>
      <c r="B25" s="27"/>
      <c r="C25" s="333"/>
    </row>
    <row r="26" spans="1:3" ht="15.75">
      <c r="A26" s="14">
        <v>9</v>
      </c>
      <c r="B26" s="27"/>
      <c r="C26" s="333"/>
    </row>
    <row r="27" spans="1:3" ht="15.75" customHeight="1">
      <c r="A27" s="14">
        <v>10</v>
      </c>
      <c r="B27" s="27"/>
      <c r="C27" s="334"/>
    </row>
    <row r="28" spans="1:3" ht="15.75" customHeight="1">
      <c r="A28" s="14"/>
      <c r="B28" s="27"/>
      <c r="C28" s="28"/>
    </row>
    <row r="29" spans="1:3" ht="30" customHeight="1">
      <c r="A29" s="14"/>
      <c r="B29" s="808" t="s">
        <v>94</v>
      </c>
      <c r="C29" s="809"/>
    </row>
    <row r="30" spans="1:3">
      <c r="A30" s="14">
        <v>1</v>
      </c>
      <c r="B30" s="690" t="s">
        <v>982</v>
      </c>
      <c r="C30" s="686">
        <v>0.97384321770185212</v>
      </c>
    </row>
    <row r="31" spans="1:3" ht="15.75" customHeight="1">
      <c r="A31" s="14">
        <v>2</v>
      </c>
      <c r="B31" s="690" t="s">
        <v>983</v>
      </c>
      <c r="C31" s="686">
        <v>1.472765597699272E-2</v>
      </c>
    </row>
    <row r="32" spans="1:3" ht="29.25" customHeight="1">
      <c r="A32" s="14"/>
      <c r="B32" s="808" t="s">
        <v>174</v>
      </c>
      <c r="C32" s="809"/>
    </row>
    <row r="33" spans="1:3">
      <c r="A33" s="14">
        <v>1</v>
      </c>
      <c r="B33" s="690" t="s">
        <v>984</v>
      </c>
      <c r="C33" s="685">
        <v>0.60183510853974465</v>
      </c>
    </row>
    <row r="34" spans="1:3" ht="16.5" thickBot="1">
      <c r="A34" s="15"/>
      <c r="B34" s="33"/>
      <c r="C34" s="33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zoomScale="55" zoomScaleNormal="55" workbookViewId="0">
      <pane xSplit="1" ySplit="5" topLeftCell="B15" activePane="bottomRight" state="frozen"/>
      <selection activeCell="B2" sqref="B2"/>
      <selection pane="topRight" activeCell="B2" sqref="B2"/>
      <selection pane="bottomLeft" activeCell="B2" sqref="B2"/>
      <selection pane="bottomRight" activeCell="C48" sqref="C48"/>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108</v>
      </c>
      <c r="B1" s="16" t="str">
        <f>Info!C2</f>
        <v>JSC "VTB Bank (Georgia)"</v>
      </c>
    </row>
    <row r="2" spans="1:7" s="21" customFormat="1" ht="15.75" customHeight="1">
      <c r="A2" s="21" t="s">
        <v>109</v>
      </c>
      <c r="B2" s="347">
        <f>Info!D2</f>
        <v>45291</v>
      </c>
    </row>
    <row r="3" spans="1:7" s="21" customFormat="1" ht="15.75" customHeight="1"/>
    <row r="4" spans="1:7" s="21" customFormat="1" ht="15.75" customHeight="1" thickBot="1">
      <c r="A4" s="168" t="s">
        <v>255</v>
      </c>
      <c r="B4" s="169" t="s">
        <v>168</v>
      </c>
      <c r="C4" s="134"/>
      <c r="D4" s="134"/>
      <c r="E4" s="135" t="s">
        <v>87</v>
      </c>
    </row>
    <row r="5" spans="1:7" s="81" customFormat="1" ht="17.649999999999999" customHeight="1">
      <c r="A5" s="245"/>
      <c r="B5" s="246"/>
      <c r="C5" s="133" t="s">
        <v>0</v>
      </c>
      <c r="D5" s="133" t="s">
        <v>1</v>
      </c>
      <c r="E5" s="247" t="s">
        <v>2</v>
      </c>
    </row>
    <row r="6" spans="1:7" s="101" customFormat="1" ht="14.65" customHeight="1">
      <c r="A6" s="248"/>
      <c r="B6" s="810" t="s">
        <v>144</v>
      </c>
      <c r="C6" s="810" t="s">
        <v>856</v>
      </c>
      <c r="D6" s="811" t="s">
        <v>143</v>
      </c>
      <c r="E6" s="812"/>
      <c r="G6"/>
    </row>
    <row r="7" spans="1:7" s="101" customFormat="1" ht="99.6" customHeight="1">
      <c r="A7" s="248"/>
      <c r="B7" s="810"/>
      <c r="C7" s="810"/>
      <c r="D7" s="243" t="s">
        <v>142</v>
      </c>
      <c r="E7" s="244" t="s">
        <v>353</v>
      </c>
      <c r="G7"/>
    </row>
    <row r="8" spans="1:7" s="101" customFormat="1" ht="22.5" customHeight="1">
      <c r="A8" s="470">
        <v>1</v>
      </c>
      <c r="B8" s="415" t="s">
        <v>843</v>
      </c>
      <c r="C8" s="471">
        <f>SUM(C9:C11)</f>
        <v>153251888.46973205</v>
      </c>
      <c r="D8" s="471">
        <f t="shared" ref="D8:E8" si="0">SUM(D9:D11)</f>
        <v>0</v>
      </c>
      <c r="E8" s="471">
        <f t="shared" si="0"/>
        <v>153251888.46973205</v>
      </c>
      <c r="G8"/>
    </row>
    <row r="9" spans="1:7" s="101" customFormat="1">
      <c r="A9" s="470">
        <v>1.1000000000000001</v>
      </c>
      <c r="B9" s="416" t="s">
        <v>96</v>
      </c>
      <c r="C9" s="471">
        <v>146554453</v>
      </c>
      <c r="D9" s="471">
        <v>0</v>
      </c>
      <c r="E9" s="471">
        <f>C9-D9</f>
        <v>146554453</v>
      </c>
      <c r="G9"/>
    </row>
    <row r="10" spans="1:7" s="101" customFormat="1">
      <c r="A10" s="470">
        <v>1.2</v>
      </c>
      <c r="B10" s="416" t="s">
        <v>97</v>
      </c>
      <c r="C10" s="471">
        <v>351</v>
      </c>
      <c r="D10" s="471">
        <v>0</v>
      </c>
      <c r="E10" s="471">
        <f t="shared" ref="E10:E15" si="1">C10-D10</f>
        <v>351</v>
      </c>
      <c r="G10"/>
    </row>
    <row r="11" spans="1:7" s="101" customFormat="1">
      <c r="A11" s="470">
        <v>1.3</v>
      </c>
      <c r="B11" s="416" t="s">
        <v>98</v>
      </c>
      <c r="C11" s="471">
        <v>6697084.4697320536</v>
      </c>
      <c r="D11" s="471">
        <v>0</v>
      </c>
      <c r="E11" s="471">
        <f t="shared" si="1"/>
        <v>6697084.4697320536</v>
      </c>
      <c r="G11"/>
    </row>
    <row r="12" spans="1:7" s="101" customFormat="1">
      <c r="A12" s="470">
        <v>2</v>
      </c>
      <c r="B12" s="417" t="s">
        <v>730</v>
      </c>
      <c r="C12" s="471"/>
      <c r="D12" s="471"/>
      <c r="E12" s="471">
        <f t="shared" si="1"/>
        <v>0</v>
      </c>
      <c r="G12"/>
    </row>
    <row r="13" spans="1:7" s="101" customFormat="1" ht="21">
      <c r="A13" s="470">
        <v>2.1</v>
      </c>
      <c r="B13" s="418" t="s">
        <v>731</v>
      </c>
      <c r="C13" s="471"/>
      <c r="D13" s="471"/>
      <c r="E13" s="471">
        <f t="shared" si="1"/>
        <v>0</v>
      </c>
      <c r="G13"/>
    </row>
    <row r="14" spans="1:7" s="101" customFormat="1" ht="34.15" customHeight="1">
      <c r="A14" s="470">
        <v>3</v>
      </c>
      <c r="B14" s="419" t="s">
        <v>732</v>
      </c>
      <c r="C14" s="471"/>
      <c r="D14" s="471"/>
      <c r="E14" s="471">
        <f t="shared" si="1"/>
        <v>0</v>
      </c>
      <c r="G14"/>
    </row>
    <row r="15" spans="1:7" s="101" customFormat="1" ht="32.65" customHeight="1">
      <c r="A15" s="470">
        <v>4</v>
      </c>
      <c r="B15" s="420" t="s">
        <v>733</v>
      </c>
      <c r="C15" s="471"/>
      <c r="D15" s="471"/>
      <c r="E15" s="471">
        <f t="shared" si="1"/>
        <v>0</v>
      </c>
      <c r="G15"/>
    </row>
    <row r="16" spans="1:7" s="101" customFormat="1" ht="22.9" customHeight="1">
      <c r="A16" s="470">
        <v>5</v>
      </c>
      <c r="B16" s="420" t="s">
        <v>734</v>
      </c>
      <c r="C16" s="471">
        <f>SUM(C17:C19)</f>
        <v>0</v>
      </c>
      <c r="D16" s="471">
        <f t="shared" ref="D16:E16" si="2">SUM(D17:D19)</f>
        <v>0</v>
      </c>
      <c r="E16" s="471">
        <f t="shared" si="2"/>
        <v>0</v>
      </c>
      <c r="G16"/>
    </row>
    <row r="17" spans="1:7" s="101" customFormat="1">
      <c r="A17" s="470">
        <v>5.0999999999999996</v>
      </c>
      <c r="B17" s="421" t="s">
        <v>735</v>
      </c>
      <c r="C17" s="471"/>
      <c r="D17" s="471"/>
      <c r="E17" s="471">
        <f t="shared" ref="E17:E19" si="3">C17-D17</f>
        <v>0</v>
      </c>
      <c r="G17"/>
    </row>
    <row r="18" spans="1:7" s="101" customFormat="1">
      <c r="A18" s="470">
        <v>5.2</v>
      </c>
      <c r="B18" s="421" t="s">
        <v>569</v>
      </c>
      <c r="C18" s="471"/>
      <c r="D18" s="471"/>
      <c r="E18" s="471">
        <f t="shared" si="3"/>
        <v>0</v>
      </c>
      <c r="G18"/>
    </row>
    <row r="19" spans="1:7" s="101" customFormat="1">
      <c r="A19" s="470">
        <v>5.3</v>
      </c>
      <c r="B19" s="421" t="s">
        <v>736</v>
      </c>
      <c r="C19" s="471"/>
      <c r="D19" s="471"/>
      <c r="E19" s="471">
        <f t="shared" si="3"/>
        <v>0</v>
      </c>
      <c r="G19"/>
    </row>
    <row r="20" spans="1:7" s="101" customFormat="1" ht="21">
      <c r="A20" s="470">
        <v>6</v>
      </c>
      <c r="B20" s="419" t="s">
        <v>737</v>
      </c>
      <c r="C20" s="471">
        <f>SUM(C21:C22)</f>
        <v>196526257.62119704</v>
      </c>
      <c r="D20" s="471">
        <f t="shared" ref="D20" si="4">SUM(D21:D22)</f>
        <v>0</v>
      </c>
      <c r="E20" s="471">
        <f>SUM(E21:E22)</f>
        <v>196526257.62119704</v>
      </c>
      <c r="G20"/>
    </row>
    <row r="21" spans="1:7">
      <c r="A21" s="470">
        <v>6.1</v>
      </c>
      <c r="B21" s="421" t="s">
        <v>569</v>
      </c>
      <c r="C21" s="472"/>
      <c r="D21" s="472"/>
      <c r="E21" s="472"/>
    </row>
    <row r="22" spans="1:7">
      <c r="A22" s="470">
        <v>6.2</v>
      </c>
      <c r="B22" s="421" t="s">
        <v>736</v>
      </c>
      <c r="C22" s="472">
        <v>196526257.62119704</v>
      </c>
      <c r="D22" s="472">
        <v>0</v>
      </c>
      <c r="E22" s="471">
        <f t="shared" ref="E22:E23" si="5">C22-D22</f>
        <v>196526257.62119704</v>
      </c>
    </row>
    <row r="23" spans="1:7" ht="21">
      <c r="A23" s="470">
        <v>7</v>
      </c>
      <c r="B23" s="422" t="s">
        <v>738</v>
      </c>
      <c r="C23" s="473">
        <v>54000</v>
      </c>
      <c r="D23" s="473">
        <v>0</v>
      </c>
      <c r="E23" s="471">
        <f t="shared" si="5"/>
        <v>54000</v>
      </c>
    </row>
    <row r="24" spans="1:7" ht="21">
      <c r="A24" s="470">
        <v>8</v>
      </c>
      <c r="B24" s="423" t="s">
        <v>739</v>
      </c>
      <c r="C24" s="473"/>
      <c r="D24" s="473"/>
      <c r="E24" s="473"/>
    </row>
    <row r="25" spans="1:7">
      <c r="A25" s="470">
        <v>9</v>
      </c>
      <c r="B25" s="420" t="s">
        <v>740</v>
      </c>
      <c r="C25" s="473">
        <f>SUM(C26:C27)</f>
        <v>63887457.020000011</v>
      </c>
      <c r="D25" s="473">
        <f t="shared" ref="D25:E25" si="6">SUM(D26:D27)</f>
        <v>0</v>
      </c>
      <c r="E25" s="473">
        <f t="shared" si="6"/>
        <v>63887457.020000011</v>
      </c>
    </row>
    <row r="26" spans="1:7">
      <c r="A26" s="470">
        <v>9.1</v>
      </c>
      <c r="B26" s="424" t="s">
        <v>741</v>
      </c>
      <c r="C26" s="473">
        <f>'2. SOFP'!E25</f>
        <v>34609140.889999993</v>
      </c>
      <c r="D26" s="473"/>
      <c r="E26" s="471">
        <f t="shared" ref="E26:E27" si="7">C26-D26</f>
        <v>34609140.889999993</v>
      </c>
    </row>
    <row r="27" spans="1:7">
      <c r="A27" s="470">
        <v>9.1999999999999993</v>
      </c>
      <c r="B27" s="424" t="s">
        <v>742</v>
      </c>
      <c r="C27" s="473">
        <f>'2. SOFP'!E26</f>
        <v>29278316.130000018</v>
      </c>
      <c r="D27" s="473"/>
      <c r="E27" s="471">
        <f t="shared" si="7"/>
        <v>29278316.130000018</v>
      </c>
    </row>
    <row r="28" spans="1:7">
      <c r="A28" s="470">
        <v>10</v>
      </c>
      <c r="B28" s="420" t="s">
        <v>36</v>
      </c>
      <c r="C28" s="473">
        <f>SUM(C29:C30)</f>
        <v>1227246.99</v>
      </c>
      <c r="D28" s="473">
        <f t="shared" ref="D28:E28" si="8">SUM(D29:D30)</f>
        <v>1227246.99</v>
      </c>
      <c r="E28" s="473">
        <f t="shared" si="8"/>
        <v>0</v>
      </c>
    </row>
    <row r="29" spans="1:7">
      <c r="A29" s="470">
        <v>10.1</v>
      </c>
      <c r="B29" s="424" t="s">
        <v>743</v>
      </c>
      <c r="C29" s="473"/>
      <c r="D29" s="473"/>
      <c r="E29" s="471">
        <f>C29-D29</f>
        <v>0</v>
      </c>
    </row>
    <row r="30" spans="1:7">
      <c r="A30" s="470">
        <v>10.199999999999999</v>
      </c>
      <c r="B30" s="424" t="s">
        <v>744</v>
      </c>
      <c r="C30" s="473">
        <f>'2. SOFP'!E29</f>
        <v>1227246.99</v>
      </c>
      <c r="D30" s="473">
        <f>C30</f>
        <v>1227246.99</v>
      </c>
      <c r="E30" s="471">
        <f>C30-D30</f>
        <v>0</v>
      </c>
    </row>
    <row r="31" spans="1:7">
      <c r="A31" s="470">
        <v>11</v>
      </c>
      <c r="B31" s="420" t="s">
        <v>745</v>
      </c>
      <c r="C31" s="473">
        <f>SUM(C32:C33)</f>
        <v>500121.3</v>
      </c>
      <c r="D31" s="473">
        <f t="shared" ref="D31:E31" si="9">SUM(D32:D33)</f>
        <v>0</v>
      </c>
      <c r="E31" s="473">
        <f t="shared" si="9"/>
        <v>500121.3</v>
      </c>
    </row>
    <row r="32" spans="1:7">
      <c r="A32" s="470">
        <v>11.1</v>
      </c>
      <c r="B32" s="424" t="s">
        <v>746</v>
      </c>
      <c r="C32" s="473">
        <f>'2. SOFP'!E31</f>
        <v>500121.3</v>
      </c>
      <c r="D32" s="473"/>
      <c r="E32" s="471">
        <f t="shared" ref="E32:E36" si="10">C32-D32</f>
        <v>500121.3</v>
      </c>
    </row>
    <row r="33" spans="1:7">
      <c r="A33" s="470">
        <v>11.2</v>
      </c>
      <c r="B33" s="424" t="s">
        <v>747</v>
      </c>
      <c r="C33" s="473"/>
      <c r="D33" s="473"/>
      <c r="E33" s="471">
        <f t="shared" si="10"/>
        <v>0</v>
      </c>
    </row>
    <row r="34" spans="1:7">
      <c r="A34" s="470">
        <v>13</v>
      </c>
      <c r="B34" s="420" t="s">
        <v>99</v>
      </c>
      <c r="C34" s="472">
        <v>39789279.638137288</v>
      </c>
      <c r="D34" s="472"/>
      <c r="E34" s="471">
        <f t="shared" si="10"/>
        <v>39789279.638137288</v>
      </c>
    </row>
    <row r="35" spans="1:7">
      <c r="A35" s="470">
        <v>13.1</v>
      </c>
      <c r="B35" s="425" t="s">
        <v>748</v>
      </c>
      <c r="C35" s="472">
        <f>'2. SOFP'!E34</f>
        <v>22290850.919999994</v>
      </c>
      <c r="D35" s="472"/>
      <c r="E35" s="471">
        <f t="shared" si="10"/>
        <v>22290850.919999994</v>
      </c>
    </row>
    <row r="36" spans="1:7">
      <c r="A36" s="470">
        <v>13.2</v>
      </c>
      <c r="B36" s="425" t="s">
        <v>749</v>
      </c>
      <c r="C36" s="472"/>
      <c r="D36" s="472"/>
      <c r="E36" s="471">
        <f t="shared" si="10"/>
        <v>0</v>
      </c>
    </row>
    <row r="37" spans="1:7" ht="51.75" thickBot="1">
      <c r="A37" s="249"/>
      <c r="B37" s="250" t="s">
        <v>320</v>
      </c>
      <c r="C37" s="209">
        <f>SUM(C8,C12,C14,C15,C16,C20,C23,C24,C25,C28,C31,C34)</f>
        <v>455236251.03906643</v>
      </c>
      <c r="D37" s="209">
        <f t="shared" ref="D37:E37" si="11">SUM(D8,D12,D14,D15,D16,D20,D23,D24,D25,D28,D31,D34)</f>
        <v>1227246.99</v>
      </c>
      <c r="E37" s="209">
        <f t="shared" si="11"/>
        <v>454009004.04906642</v>
      </c>
    </row>
    <row r="38" spans="1:7">
      <c r="A38"/>
      <c r="B38"/>
      <c r="C38" s="679">
        <f>C37-'2. SOFP'!E36</f>
        <v>-0.81749999523162842</v>
      </c>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70" zoomScaleNormal="70" workbookViewId="0">
      <pane xSplit="1" ySplit="4" topLeftCell="B5" activePane="bottomRight" state="frozen"/>
      <selection activeCell="B2" sqref="B2"/>
      <selection pane="topRight" activeCell="B2" sqref="B2"/>
      <selection pane="bottomLeft" activeCell="B2" sqref="B2"/>
      <selection pane="bottomRight" activeCell="C6" sqref="C6"/>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16" t="str">
        <f>Info!C2</f>
        <v>JSC "VTB Bank (Georgia)"</v>
      </c>
    </row>
    <row r="2" spans="1:6" s="21" customFormat="1" ht="15.75" customHeight="1">
      <c r="A2" s="21" t="s">
        <v>109</v>
      </c>
      <c r="B2" s="347">
        <f>Info!D2</f>
        <v>45291</v>
      </c>
      <c r="C2"/>
      <c r="D2"/>
      <c r="E2"/>
      <c r="F2"/>
    </row>
    <row r="3" spans="1:6" s="21" customFormat="1" ht="15.75" customHeight="1">
      <c r="C3"/>
      <c r="D3"/>
      <c r="E3"/>
      <c r="F3"/>
    </row>
    <row r="4" spans="1:6" s="21" customFormat="1" ht="26.25" thickBot="1">
      <c r="A4" s="21" t="s">
        <v>256</v>
      </c>
      <c r="B4" s="141" t="s">
        <v>171</v>
      </c>
      <c r="C4" s="135" t="s">
        <v>87</v>
      </c>
      <c r="D4"/>
      <c r="E4"/>
      <c r="F4"/>
    </row>
    <row r="5" spans="1:6" ht="26.25">
      <c r="A5" s="136">
        <v>1</v>
      </c>
      <c r="B5" s="137" t="s">
        <v>727</v>
      </c>
      <c r="C5" s="175">
        <f>'7. LI1'!E37</f>
        <v>454009004.04906642</v>
      </c>
    </row>
    <row r="6" spans="1:6" s="126" customFormat="1">
      <c r="A6" s="80">
        <v>2.1</v>
      </c>
      <c r="B6" s="143" t="s">
        <v>861</v>
      </c>
      <c r="C6" s="176">
        <v>2813381.33152</v>
      </c>
    </row>
    <row r="7" spans="1:6" s="4" customFormat="1" ht="25.5" outlineLevel="1">
      <c r="A7" s="142">
        <v>2.2000000000000002</v>
      </c>
      <c r="B7" s="138" t="s">
        <v>862</v>
      </c>
      <c r="C7" s="177"/>
    </row>
    <row r="8" spans="1:6" s="4" customFormat="1" ht="26.25">
      <c r="A8" s="142">
        <v>3</v>
      </c>
      <c r="B8" s="139" t="s">
        <v>728</v>
      </c>
      <c r="C8" s="178">
        <f>SUM(C5:C7)</f>
        <v>456822385.38058645</v>
      </c>
    </row>
    <row r="9" spans="1:6" s="126" customFormat="1">
      <c r="A9" s="80">
        <v>4</v>
      </c>
      <c r="B9" s="146" t="s">
        <v>169</v>
      </c>
      <c r="C9" s="176"/>
    </row>
    <row r="10" spans="1:6" s="4" customFormat="1" ht="25.5" outlineLevel="1">
      <c r="A10" s="142">
        <v>5.0999999999999996</v>
      </c>
      <c r="B10" s="138" t="s">
        <v>175</v>
      </c>
      <c r="C10" s="177">
        <v>-1366690.66576</v>
      </c>
    </row>
    <row r="11" spans="1:6" s="4" customFormat="1" ht="25.5" outlineLevel="1">
      <c r="A11" s="142">
        <v>5.2</v>
      </c>
      <c r="B11" s="138" t="s">
        <v>176</v>
      </c>
      <c r="C11" s="177"/>
    </row>
    <row r="12" spans="1:6" s="4" customFormat="1">
      <c r="A12" s="142">
        <v>6</v>
      </c>
      <c r="B12" s="144" t="s">
        <v>438</v>
      </c>
      <c r="C12" s="251"/>
    </row>
    <row r="13" spans="1:6" s="4" customFormat="1" ht="15.75" thickBot="1">
      <c r="A13" s="145">
        <v>7</v>
      </c>
      <c r="B13" s="140" t="s">
        <v>170</v>
      </c>
      <c r="C13" s="179">
        <f>SUM(C8:C12)</f>
        <v>455455694.71482646</v>
      </c>
    </row>
    <row r="15" spans="1:6" ht="26.25">
      <c r="B15" s="23" t="s">
        <v>439</v>
      </c>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2024-02-12T13:32:17Z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