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E35" i="97" l="1"/>
  <c r="E21" i="96"/>
  <c r="C27" i="69" l="1"/>
  <c r="C15" i="100" l="1"/>
  <c r="D15" i="100"/>
  <c r="E15" i="100"/>
  <c r="F15" i="100"/>
  <c r="G15" i="100"/>
  <c r="H15" i="100"/>
  <c r="I15" i="100"/>
  <c r="J15" i="100"/>
  <c r="K15" i="100"/>
  <c r="L15" i="100"/>
  <c r="M15" i="100"/>
  <c r="N15" i="100"/>
  <c r="O15" i="100"/>
  <c r="P15" i="100"/>
  <c r="Q15" i="100"/>
  <c r="R15" i="100"/>
  <c r="S15" i="100"/>
  <c r="I21" i="95" l="1"/>
  <c r="I14" i="95"/>
  <c r="I17" i="95"/>
  <c r="I16" i="95"/>
  <c r="C12" i="28" l="1"/>
  <c r="C32" i="28"/>
  <c r="C31" i="28" s="1"/>
  <c r="C42" i="28" s="1"/>
  <c r="C36" i="28"/>
  <c r="C44" i="28"/>
  <c r="C33" i="97"/>
  <c r="C23" i="72"/>
  <c r="C22" i="72"/>
  <c r="C11" i="72"/>
  <c r="C10" i="72"/>
  <c r="C9" i="72"/>
  <c r="C35" i="72"/>
  <c r="C34" i="72"/>
  <c r="C32" i="72"/>
  <c r="C30" i="72"/>
  <c r="C27" i="72"/>
  <c r="C26" i="72"/>
  <c r="H45" i="93" l="1"/>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H70" i="92"/>
  <c r="E70" i="92"/>
  <c r="H69" i="92"/>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C23" i="6"/>
  <c r="C22" i="6"/>
  <c r="C21" i="6"/>
  <c r="C20" i="6"/>
  <c r="C19" i="6"/>
  <c r="C18" i="6"/>
  <c r="H43" i="94" l="1"/>
  <c r="E43" i="94"/>
  <c r="H42" i="94"/>
  <c r="E42" i="94"/>
  <c r="H41" i="94"/>
  <c r="E41" i="94"/>
  <c r="H40" i="94"/>
  <c r="E40" i="94"/>
  <c r="H39" i="94"/>
  <c r="E39" i="94"/>
  <c r="H38" i="94"/>
  <c r="H37" i="94"/>
  <c r="E37" i="94"/>
  <c r="H36" i="94"/>
  <c r="E36" i="94"/>
  <c r="H35" i="94"/>
  <c r="E35" i="94"/>
  <c r="H34" i="94"/>
  <c r="E34" i="94"/>
  <c r="H33" i="94"/>
  <c r="E33" i="94"/>
  <c r="H32" i="94"/>
  <c r="E32" i="94"/>
  <c r="H31" i="94"/>
  <c r="E31" i="94"/>
  <c r="G30" i="94"/>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H17" i="94"/>
  <c r="E17" i="94"/>
  <c r="H16" i="94"/>
  <c r="E16" i="94"/>
  <c r="H15" i="94"/>
  <c r="E15" i="94"/>
  <c r="G14" i="94"/>
  <c r="F14" i="94"/>
  <c r="D14" i="94"/>
  <c r="C14" i="94"/>
  <c r="H13" i="94"/>
  <c r="E13" i="94"/>
  <c r="H12" i="94"/>
  <c r="E12" i="94"/>
  <c r="G11" i="94"/>
  <c r="F11" i="94"/>
  <c r="H11" i="94" s="1"/>
  <c r="D11" i="94"/>
  <c r="C11" i="94"/>
  <c r="E11" i="94" s="1"/>
  <c r="H10" i="94"/>
  <c r="E10" i="94"/>
  <c r="H9" i="94"/>
  <c r="E9" i="94"/>
  <c r="G8" i="94"/>
  <c r="F8" i="94"/>
  <c r="H8" i="94" s="1"/>
  <c r="D8" i="94"/>
  <c r="C8" i="94"/>
  <c r="E8" i="94" s="1"/>
  <c r="H7" i="94"/>
  <c r="E7" i="94"/>
  <c r="H6" i="94"/>
  <c r="E6" i="94"/>
  <c r="H14" i="94" l="1"/>
  <c r="E14" i="94"/>
  <c r="H30" i="94"/>
  <c r="E38" i="94"/>
  <c r="L33" i="102" l="1"/>
  <c r="K33" i="102"/>
  <c r="J33" i="102"/>
  <c r="I33" i="102"/>
  <c r="H33" i="102"/>
  <c r="G33" i="102"/>
  <c r="F33" i="102"/>
  <c r="E33" i="102"/>
  <c r="D33" i="102"/>
  <c r="C33" i="102"/>
  <c r="S22" i="100"/>
  <c r="R22" i="100"/>
  <c r="Q22" i="100"/>
  <c r="P22" i="100"/>
  <c r="O22" i="100"/>
  <c r="N22" i="100"/>
  <c r="M22" i="100"/>
  <c r="L22" i="100"/>
  <c r="K22" i="100"/>
  <c r="J22" i="100"/>
  <c r="I22" i="100"/>
  <c r="H22" i="100"/>
  <c r="G22" i="100"/>
  <c r="F22" i="100"/>
  <c r="E22" i="100"/>
  <c r="D22" i="100"/>
  <c r="C22" i="100"/>
  <c r="S8" i="100"/>
  <c r="R8" i="100"/>
  <c r="Q8" i="100"/>
  <c r="P8" i="100"/>
  <c r="O8" i="100"/>
  <c r="N8" i="100"/>
  <c r="M8" i="100"/>
  <c r="L8" i="100"/>
  <c r="K8" i="100"/>
  <c r="J8" i="100"/>
  <c r="I8" i="100"/>
  <c r="H8" i="100"/>
  <c r="G8" i="100"/>
  <c r="F8" i="100"/>
  <c r="E8" i="100"/>
  <c r="D8" i="100"/>
  <c r="C8" i="100"/>
  <c r="C18" i="99"/>
  <c r="E22" i="96"/>
  <c r="E24" i="96" s="1"/>
  <c r="D22" i="96"/>
  <c r="C22" i="96"/>
  <c r="C24" i="96" s="1"/>
  <c r="C48" i="28"/>
  <c r="E35" i="72"/>
  <c r="E34" i="72"/>
  <c r="E33" i="72"/>
  <c r="C31" i="72"/>
  <c r="D31" i="72"/>
  <c r="D30" i="72"/>
  <c r="E29" i="72"/>
  <c r="E27" i="72"/>
  <c r="E26" i="72"/>
  <c r="E25" i="72" s="1"/>
  <c r="D25" i="72"/>
  <c r="D20" i="72"/>
  <c r="E19" i="72"/>
  <c r="E18" i="72"/>
  <c r="E16" i="72" s="1"/>
  <c r="E17" i="72"/>
  <c r="D16" i="72"/>
  <c r="C16" i="72"/>
  <c r="E15" i="72"/>
  <c r="E14" i="72"/>
  <c r="E13" i="72"/>
  <c r="E12" i="72"/>
  <c r="D8" i="72"/>
  <c r="C25" i="72" l="1"/>
  <c r="C28" i="72"/>
  <c r="E30" i="72"/>
  <c r="E28" i="72" s="1"/>
  <c r="D28" i="72"/>
  <c r="E32" i="72"/>
  <c r="E31" i="72" s="1"/>
  <c r="D10" i="98" l="1"/>
  <c r="D7" i="98"/>
  <c r="D15" i="98" l="1"/>
  <c r="G21" i="96"/>
  <c r="F21" i="96"/>
  <c r="C21" i="96"/>
  <c r="C35" i="79" l="1"/>
  <c r="L9" i="103" l="1"/>
  <c r="C34" i="102"/>
  <c r="F35" i="97" l="1"/>
  <c r="F33" i="97" l="1"/>
  <c r="H7" i="96" l="1"/>
  <c r="H8" i="96"/>
  <c r="H9" i="96"/>
  <c r="H10" i="96"/>
  <c r="H11" i="96"/>
  <c r="H13" i="96"/>
  <c r="H14" i="96"/>
  <c r="H15" i="96"/>
  <c r="H16" i="96"/>
  <c r="H17" i="96"/>
  <c r="H18" i="96"/>
  <c r="H19" i="96"/>
  <c r="H20" i="96"/>
  <c r="I20" i="96" s="1"/>
  <c r="C22" i="74"/>
  <c r="H21" i="74" l="1"/>
  <c r="H20" i="74"/>
  <c r="H19" i="74"/>
  <c r="H18" i="74"/>
  <c r="H17" i="74"/>
  <c r="H16" i="74"/>
  <c r="H15" i="74"/>
  <c r="H14" i="74"/>
  <c r="H13" i="74"/>
  <c r="H12" i="74"/>
  <c r="H11" i="74"/>
  <c r="H10" i="74"/>
  <c r="H9" i="74"/>
  <c r="H8" i="74"/>
  <c r="C31" i="69"/>
  <c r="E36" i="72"/>
  <c r="U15" i="100"/>
  <c r="T15" i="100"/>
  <c r="U22" i="100"/>
  <c r="T22" i="100"/>
  <c r="U8" i="100"/>
  <c r="T8" i="100"/>
  <c r="E13" i="99"/>
  <c r="C19" i="99" l="1"/>
  <c r="C51" i="69" l="1"/>
  <c r="C32" i="69"/>
  <c r="C21" i="69"/>
  <c r="C33" i="69" l="1"/>
  <c r="C24" i="69"/>
  <c r="C30" i="69"/>
  <c r="C25" i="69"/>
  <c r="C28"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I33" i="97" s="1"/>
  <c r="C34" i="97"/>
  <c r="C35" i="97" s="1"/>
  <c r="D34" i="97"/>
  <c r="E34" i="97"/>
  <c r="F34" i="97"/>
  <c r="G34" i="97"/>
  <c r="H22" i="96"/>
  <c r="H23" i="96"/>
  <c r="H8" i="95"/>
  <c r="H9" i="95"/>
  <c r="H10" i="95"/>
  <c r="H11" i="95"/>
  <c r="H12" i="95"/>
  <c r="H13" i="95"/>
  <c r="H14" i="95"/>
  <c r="I13" i="96" s="1"/>
  <c r="H15" i="95"/>
  <c r="I14" i="96" s="1"/>
  <c r="H16" i="95"/>
  <c r="I15" i="96" s="1"/>
  <c r="H17" i="95"/>
  <c r="I16" i="96" s="1"/>
  <c r="H18" i="95"/>
  <c r="H19" i="95"/>
  <c r="H20" i="95"/>
  <c r="D22" i="95"/>
  <c r="E22" i="95"/>
  <c r="F22" i="95"/>
  <c r="G22" i="95"/>
  <c r="I13" i="95" l="1"/>
  <c r="H22" i="95"/>
  <c r="H23" i="95" s="1"/>
  <c r="C15" i="98"/>
  <c r="C16" i="98" s="1"/>
  <c r="H34" i="97"/>
  <c r="C62" i="69"/>
  <c r="C58" i="69"/>
  <c r="C46" i="69"/>
  <c r="C40" i="69"/>
  <c r="C29" i="69"/>
  <c r="C26" i="69"/>
  <c r="C23" i="69"/>
  <c r="C18" i="69"/>
  <c r="C14" i="69"/>
  <c r="C35" i="69" s="1"/>
  <c r="C6" i="69"/>
  <c r="D21" i="96" l="1"/>
  <c r="H12" i="96"/>
  <c r="C67" i="69"/>
  <c r="D37" i="72"/>
  <c r="C52" i="69"/>
  <c r="H21" i="96" l="1"/>
  <c r="I12" i="96"/>
  <c r="C68" i="69"/>
  <c r="C69" i="69" s="1"/>
  <c r="G37" i="80"/>
  <c r="G21" i="80"/>
  <c r="H25" i="96" l="1"/>
  <c r="H35" i="97"/>
  <c r="G39" i="80"/>
  <c r="G6" i="71"/>
  <c r="G13" i="71" s="1"/>
  <c r="F6" i="71"/>
  <c r="F13" i="71" s="1"/>
  <c r="E6" i="71"/>
  <c r="E13" i="71" s="1"/>
  <c r="D6" i="71"/>
  <c r="D13"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C7" i="37"/>
  <c r="F21" i="37" l="1"/>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6" i="28" l="1"/>
  <c r="C29" i="28" s="1"/>
  <c r="C55" i="28" l="1"/>
  <c r="E29" i="28"/>
  <c r="C5" i="6"/>
  <c r="F5" i="6"/>
  <c r="K5" i="6" s="1"/>
  <c r="G5" i="71"/>
  <c r="E5" i="6"/>
  <c r="J5" i="6" s="1"/>
  <c r="D5" i="6"/>
  <c r="I5" i="6" s="1"/>
  <c r="G5" i="6"/>
  <c r="L5" i="6" s="1"/>
  <c r="C5" i="71" l="1"/>
  <c r="E5" i="71"/>
  <c r="F5" i="71"/>
  <c r="D5" i="71"/>
  <c r="E23" i="72" l="1"/>
  <c r="E11" i="72"/>
  <c r="E9" i="72" l="1"/>
  <c r="E10" i="72"/>
  <c r="E22" i="72" l="1"/>
  <c r="E20" i="72" s="1"/>
  <c r="C20" i="72"/>
  <c r="E8" i="72"/>
  <c r="E37" i="72" s="1"/>
  <c r="C5" i="73" s="1"/>
  <c r="C8" i="73" s="1"/>
  <c r="C13" i="73" s="1"/>
  <c r="C8" i="72"/>
  <c r="C37" i="72" s="1"/>
  <c r="H24" i="96" s="1"/>
  <c r="C38" i="72" l="1"/>
</calcChain>
</file>

<file path=xl/sharedStrings.xml><?xml version="1.0" encoding="utf-8"?>
<sst xmlns="http://schemas.openxmlformats.org/spreadsheetml/2006/main" count="1591" uniqueCount="988">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</sst>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9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172" fontId="25" fillId="37"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0" fontId="17" fillId="0" borderId="1" xfId="0" applyFont="1" applyFill="1" applyBorder="1" applyAlignment="1">
      <alignment horizontal="center" vertical="center"/>
    </xf>
    <xf numFmtId="167" fontId="117" fillId="0" borderId="69" xfId="7" applyNumberFormat="1" applyFont="1" applyBorder="1"/>
    <xf numFmtId="167" fontId="10" fillId="0" borderId="166" xfId="0" applyNumberFormat="1" applyFont="1" applyFill="1" applyBorder="1" applyAlignment="1">
      <alignment horizontal="left" vertical="center" wrapText="1"/>
    </xf>
    <xf numFmtId="43" fontId="145"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10" fontId="9" fillId="2"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72"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0" borderId="173" xfId="7" applyNumberFormat="1" applyFont="1" applyBorder="1" applyAlignment="1">
      <alignment horizontal="left" indent="2"/>
    </xf>
    <xf numFmtId="167" fontId="114" fillId="0" borderId="173" xfId="7" applyNumberFormat="1" applyFont="1" applyFill="1" applyBorder="1" applyAlignment="1">
      <alignment horizontal="left" indent="3"/>
    </xf>
    <xf numFmtId="167" fontId="114" fillId="0" borderId="173" xfId="7" applyNumberFormat="1" applyFont="1" applyFill="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167" fontId="114" fillId="0" borderId="173" xfId="7" applyNumberFormat="1" applyFont="1" applyFill="1" applyBorder="1" applyAlignment="1">
      <alignment horizontal="left" vertical="top" wrapText="1" indent="2"/>
    </xf>
    <xf numFmtId="0" fontId="114" fillId="0" borderId="166" xfId="0" applyFont="1" applyFill="1" applyBorder="1"/>
    <xf numFmtId="0" fontId="114" fillId="0" borderId="167" xfId="0" applyFont="1" applyFill="1" applyBorder="1"/>
    <xf numFmtId="167" fontId="114" fillId="0" borderId="173" xfId="7" applyNumberFormat="1" applyFont="1" applyFill="1" applyBorder="1" applyAlignment="1">
      <alignment horizontal="left" wrapText="1" indent="3"/>
    </xf>
    <xf numFmtId="167" fontId="114" fillId="0" borderId="173" xfId="7" applyNumberFormat="1" applyFont="1" applyFill="1" applyBorder="1" applyAlignment="1">
      <alignment horizontal="left" wrapText="1" indent="2"/>
    </xf>
    <xf numFmtId="167" fontId="114" fillId="0" borderId="173" xfId="7" applyNumberFormat="1" applyFont="1" applyFill="1" applyBorder="1" applyAlignment="1">
      <alignment horizontal="left" wrapText="1" indent="1"/>
    </xf>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0" fontId="140" fillId="0" borderId="160" xfId="0" applyFont="1" applyBorder="1" applyAlignment="1">
      <alignment horizontal="center" vertical="center" wrapText="1"/>
    </xf>
    <xf numFmtId="0" fontId="140"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44" fillId="0" borderId="160" xfId="0" applyFont="1" applyBorder="1" applyAlignment="1">
      <alignment horizontal="center" wrapText="1"/>
    </xf>
    <xf numFmtId="0" fontId="144" fillId="0" borderId="29" xfId="0" applyFont="1" applyBorder="1" applyAlignment="1">
      <alignment horizontal="center" wrapText="1"/>
    </xf>
    <xf numFmtId="0" fontId="144" fillId="0" borderId="161" xfId="0" applyFont="1" applyBorder="1" applyAlignment="1">
      <alignment horizontal="center" wrapText="1"/>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3" fillId="76" borderId="148" xfId="0" applyFont="1" applyFill="1" applyBorder="1" applyAlignment="1">
      <alignment horizontal="center"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3" fillId="0" borderId="148" xfId="0" applyFont="1" applyFill="1" applyBorder="1" applyAlignment="1">
      <alignment horizontal="center" vertical="center"/>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xf numFmtId="14" fontId="0" fillId="0" borderId="0" xfId="0" applyNumberFormat="1"/>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4/06/FSF-BVT-MM-2024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R-RWA"/>
      <sheetName val="CICR Buffer"/>
      <sheetName val="HHI Buffer"/>
      <sheetName val="CRA Buffer"/>
      <sheetName val="CRM"/>
      <sheetName val="LR"/>
    </sheetNames>
    <sheetDataSet>
      <sheetData sheetId="0"/>
      <sheetData sheetId="1"/>
      <sheetData sheetId="2"/>
      <sheetData sheetId="3">
        <row r="23">
          <cell r="W23">
            <v>-16332895.890969127</v>
          </cell>
        </row>
        <row r="28">
          <cell r="W28">
            <v>28174481.68</v>
          </cell>
        </row>
        <row r="32">
          <cell r="W32">
            <v>33937909.550000004</v>
          </cell>
        </row>
        <row r="33">
          <cell r="W33">
            <v>1120927.04</v>
          </cell>
        </row>
        <row r="35">
          <cell r="W35">
            <v>929001.43</v>
          </cell>
        </row>
        <row r="37">
          <cell r="W37">
            <v>40247488.414930895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D11">
            <v>22019563.32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9">
          <cell r="G29">
            <v>6880378.9999999972</v>
          </cell>
        </row>
        <row r="30">
          <cell r="G30">
            <v>125896262.18228009</v>
          </cell>
        </row>
        <row r="34">
          <cell r="G34">
            <v>6850450.3152547404</v>
          </cell>
        </row>
        <row r="35">
          <cell r="G35">
            <v>62258638.695410281</v>
          </cell>
        </row>
        <row r="39">
          <cell r="D39">
            <v>260583742.70830002</v>
          </cell>
          <cell r="G39">
            <v>259462815.66830003</v>
          </cell>
        </row>
      </sheetData>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D19" sqref="D19"/>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70">
        <v>1</v>
      </c>
      <c r="B2" s="128" t="s">
        <v>160</v>
      </c>
      <c r="C2" s="683" t="s">
        <v>960</v>
      </c>
      <c r="D2" s="685">
        <v>45473</v>
      </c>
    </row>
    <row r="3" spans="1:6" s="127" customFormat="1" ht="15.75">
      <c r="A3" s="170">
        <v>2</v>
      </c>
      <c r="B3" s="129" t="s">
        <v>161</v>
      </c>
      <c r="C3" s="683" t="s">
        <v>961</v>
      </c>
      <c r="D3" s="678"/>
    </row>
    <row r="4" spans="1:6" s="127" customFormat="1" ht="15.75">
      <c r="A4" s="170">
        <v>3</v>
      </c>
      <c r="B4" s="129" t="s">
        <v>162</v>
      </c>
      <c r="C4" s="683" t="s">
        <v>962</v>
      </c>
      <c r="D4" s="678"/>
    </row>
    <row r="5" spans="1:6" s="127" customFormat="1" ht="15.75">
      <c r="A5" s="171">
        <v>4</v>
      </c>
      <c r="B5" s="132" t="s">
        <v>163</v>
      </c>
      <c r="C5" s="683" t="s">
        <v>963</v>
      </c>
      <c r="D5" s="678"/>
    </row>
    <row r="6" spans="1:6" s="131" customFormat="1" ht="65.25" customHeight="1">
      <c r="A6" s="801" t="s">
        <v>321</v>
      </c>
      <c r="B6" s="802"/>
      <c r="C6" s="802"/>
    </row>
    <row r="7" spans="1:6">
      <c r="A7" s="272" t="s">
        <v>251</v>
      </c>
      <c r="B7" s="273" t="s">
        <v>164</v>
      </c>
    </row>
    <row r="8" spans="1:6">
      <c r="A8" s="274">
        <v>1</v>
      </c>
      <c r="B8" s="270" t="s">
        <v>139</v>
      </c>
    </row>
    <row r="9" spans="1:6">
      <c r="A9" s="274">
        <v>2</v>
      </c>
      <c r="B9" s="270" t="s">
        <v>165</v>
      </c>
    </row>
    <row r="10" spans="1:6">
      <c r="A10" s="274">
        <v>3</v>
      </c>
      <c r="B10" s="270" t="s">
        <v>166</v>
      </c>
    </row>
    <row r="11" spans="1:6">
      <c r="A11" s="274">
        <v>4</v>
      </c>
      <c r="B11" s="270" t="s">
        <v>167</v>
      </c>
      <c r="C11" s="126"/>
      <c r="F11" s="991"/>
    </row>
    <row r="12" spans="1:6">
      <c r="A12" s="274">
        <v>5</v>
      </c>
      <c r="B12" s="270" t="s">
        <v>107</v>
      </c>
      <c r="F12" s="991"/>
    </row>
    <row r="13" spans="1:6">
      <c r="A13" s="274">
        <v>6</v>
      </c>
      <c r="B13" s="275" t="s">
        <v>91</v>
      </c>
    </row>
    <row r="14" spans="1:6">
      <c r="A14" s="274">
        <v>7</v>
      </c>
      <c r="B14" s="270" t="s">
        <v>168</v>
      </c>
    </row>
    <row r="15" spans="1:6">
      <c r="A15" s="274">
        <v>8</v>
      </c>
      <c r="B15" s="270" t="s">
        <v>171</v>
      </c>
    </row>
    <row r="16" spans="1:6">
      <c r="A16" s="274">
        <v>9</v>
      </c>
      <c r="B16" s="270" t="s">
        <v>85</v>
      </c>
    </row>
    <row r="17" spans="1:2">
      <c r="A17" s="276" t="s">
        <v>378</v>
      </c>
      <c r="B17" s="270" t="s">
        <v>358</v>
      </c>
    </row>
    <row r="18" spans="1:2">
      <c r="A18" s="274">
        <v>10</v>
      </c>
      <c r="B18" s="270" t="s">
        <v>172</v>
      </c>
    </row>
    <row r="19" spans="1:2">
      <c r="A19" s="274">
        <v>11</v>
      </c>
      <c r="B19" s="275" t="s">
        <v>155</v>
      </c>
    </row>
    <row r="20" spans="1:2">
      <c r="A20" s="274">
        <v>12</v>
      </c>
      <c r="B20" s="275" t="s">
        <v>152</v>
      </c>
    </row>
    <row r="21" spans="1:2">
      <c r="A21" s="274">
        <v>13</v>
      </c>
      <c r="B21" s="277" t="s">
        <v>297</v>
      </c>
    </row>
    <row r="22" spans="1:2">
      <c r="A22" s="274">
        <v>14</v>
      </c>
      <c r="B22" s="270" t="s">
        <v>351</v>
      </c>
    </row>
    <row r="23" spans="1:2">
      <c r="A23" s="278">
        <v>15</v>
      </c>
      <c r="B23" s="270" t="s">
        <v>74</v>
      </c>
    </row>
    <row r="24" spans="1:2">
      <c r="A24" s="278">
        <v>15.1</v>
      </c>
      <c r="B24" s="270" t="s">
        <v>387</v>
      </c>
    </row>
    <row r="25" spans="1:2">
      <c r="A25" s="278">
        <v>16</v>
      </c>
      <c r="B25" s="270" t="s">
        <v>453</v>
      </c>
    </row>
    <row r="26" spans="1:2">
      <c r="A26" s="278">
        <v>17</v>
      </c>
      <c r="B26" s="270" t="s">
        <v>677</v>
      </c>
    </row>
    <row r="27" spans="1:2">
      <c r="A27" s="278">
        <v>18</v>
      </c>
      <c r="B27" s="270" t="s">
        <v>939</v>
      </c>
    </row>
    <row r="28" spans="1:2">
      <c r="A28" s="278">
        <v>19</v>
      </c>
      <c r="B28" s="270" t="s">
        <v>940</v>
      </c>
    </row>
    <row r="29" spans="1:2">
      <c r="A29" s="278">
        <v>20</v>
      </c>
      <c r="B29" s="270" t="s">
        <v>941</v>
      </c>
    </row>
    <row r="30" spans="1:2">
      <c r="A30" s="278">
        <v>21</v>
      </c>
      <c r="B30" s="270" t="s">
        <v>546</v>
      </c>
    </row>
    <row r="31" spans="1:2">
      <c r="A31" s="278">
        <v>22</v>
      </c>
      <c r="B31" s="270" t="s">
        <v>942</v>
      </c>
    </row>
    <row r="32" spans="1:2" ht="25.5">
      <c r="A32" s="278">
        <v>23</v>
      </c>
      <c r="B32" s="619" t="s">
        <v>938</v>
      </c>
    </row>
    <row r="33" spans="1:2">
      <c r="A33" s="278">
        <v>24</v>
      </c>
      <c r="B33" s="270" t="s">
        <v>943</v>
      </c>
    </row>
    <row r="34" spans="1:2">
      <c r="A34" s="278">
        <v>25</v>
      </c>
      <c r="B34" s="270" t="s">
        <v>944</v>
      </c>
    </row>
    <row r="35" spans="1:2">
      <c r="A35" s="274">
        <v>26</v>
      </c>
      <c r="B35" s="270"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45" activePane="bottomRight" state="frozen"/>
      <selection activeCell="B2" sqref="B2"/>
      <selection pane="topRight" activeCell="B2" sqref="B2"/>
      <selection pane="bottomLeft" activeCell="B2" sqref="B2"/>
      <selection pane="bottomRight" activeCell="D72" sqref="D72"/>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9">
        <f>Info!D2</f>
        <v>45473</v>
      </c>
    </row>
    <row r="3" spans="1:6" s="21" customFormat="1" ht="15.75" customHeight="1"/>
    <row r="4" spans="1:6" ht="15.75" thickBot="1">
      <c r="A4" s="5" t="s">
        <v>257</v>
      </c>
      <c r="B4" s="30" t="s">
        <v>85</v>
      </c>
    </row>
    <row r="5" spans="1:6">
      <c r="A5" s="87" t="s">
        <v>25</v>
      </c>
      <c r="B5" s="88"/>
      <c r="C5" s="89" t="s">
        <v>26</v>
      </c>
    </row>
    <row r="6" spans="1:6">
      <c r="A6" s="90">
        <v>1</v>
      </c>
      <c r="B6" s="50" t="s">
        <v>27</v>
      </c>
      <c r="C6" s="180">
        <f>SUM(C7:C11)</f>
        <v>260250091.96262693</v>
      </c>
    </row>
    <row r="7" spans="1:6">
      <c r="A7" s="90">
        <v>2</v>
      </c>
      <c r="B7" s="47" t="s">
        <v>28</v>
      </c>
      <c r="C7" s="751">
        <v>209008277</v>
      </c>
    </row>
    <row r="8" spans="1:6">
      <c r="A8" s="90">
        <v>3</v>
      </c>
      <c r="B8" s="41" t="s">
        <v>29</v>
      </c>
      <c r="C8" s="751"/>
    </row>
    <row r="9" spans="1:6">
      <c r="A9" s="90">
        <v>4</v>
      </c>
      <c r="B9" s="41" t="s">
        <v>30</v>
      </c>
      <c r="C9" s="751">
        <v>11691975</v>
      </c>
    </row>
    <row r="10" spans="1:6">
      <c r="A10" s="90">
        <v>5</v>
      </c>
      <c r="B10" s="41" t="s">
        <v>31</v>
      </c>
      <c r="C10" s="751"/>
    </row>
    <row r="11" spans="1:6">
      <c r="A11" s="90">
        <v>6</v>
      </c>
      <c r="B11" s="48" t="s">
        <v>32</v>
      </c>
      <c r="C11" s="751">
        <v>39549839.962626934</v>
      </c>
    </row>
    <row r="12" spans="1:6" s="4" customFormat="1">
      <c r="A12" s="90">
        <v>7</v>
      </c>
      <c r="B12" s="50" t="s">
        <v>33</v>
      </c>
      <c r="C12" s="752">
        <f>SUM(C13:C28)</f>
        <v>12812902.039999999</v>
      </c>
    </row>
    <row r="13" spans="1:6" s="4" customFormat="1">
      <c r="A13" s="90">
        <v>8</v>
      </c>
      <c r="B13" s="49" t="s">
        <v>34</v>
      </c>
      <c r="C13" s="753">
        <v>11691975</v>
      </c>
    </row>
    <row r="14" spans="1:6" s="4" customFormat="1" ht="25.5">
      <c r="A14" s="90">
        <v>9</v>
      </c>
      <c r="B14" s="42" t="s">
        <v>35</v>
      </c>
      <c r="C14" s="753"/>
    </row>
    <row r="15" spans="1:6" s="4" customFormat="1">
      <c r="A15" s="90">
        <v>10</v>
      </c>
      <c r="B15" s="43" t="s">
        <v>36</v>
      </c>
      <c r="C15" s="753">
        <v>1120927.04</v>
      </c>
    </row>
    <row r="16" spans="1:6" s="4" customFormat="1">
      <c r="A16" s="90">
        <v>11</v>
      </c>
      <c r="B16" s="44" t="s">
        <v>37</v>
      </c>
      <c r="C16" s="753"/>
    </row>
    <row r="17" spans="1:5" s="4" customFormat="1">
      <c r="A17" s="90">
        <v>12</v>
      </c>
      <c r="B17" s="43" t="s">
        <v>38</v>
      </c>
      <c r="C17" s="753"/>
    </row>
    <row r="18" spans="1:5" s="4" customFormat="1">
      <c r="A18" s="90">
        <v>13</v>
      </c>
      <c r="B18" s="43" t="s">
        <v>39</v>
      </c>
      <c r="C18" s="753"/>
    </row>
    <row r="19" spans="1:5" s="4" customFormat="1">
      <c r="A19" s="90">
        <v>14</v>
      </c>
      <c r="B19" s="43" t="s">
        <v>40</v>
      </c>
      <c r="C19" s="753"/>
    </row>
    <row r="20" spans="1:5" s="4" customFormat="1" ht="25.5">
      <c r="A20" s="90">
        <v>15</v>
      </c>
      <c r="B20" s="43" t="s">
        <v>41</v>
      </c>
      <c r="C20" s="753"/>
    </row>
    <row r="21" spans="1:5" s="4" customFormat="1" ht="25.5">
      <c r="A21" s="90">
        <v>16</v>
      </c>
      <c r="B21" s="42" t="s">
        <v>42</v>
      </c>
      <c r="C21" s="753"/>
    </row>
    <row r="22" spans="1:5" s="4" customFormat="1">
      <c r="A22" s="90">
        <v>17</v>
      </c>
      <c r="B22" s="91" t="s">
        <v>43</v>
      </c>
      <c r="C22" s="753"/>
    </row>
    <row r="23" spans="1:5" s="4" customFormat="1">
      <c r="A23" s="90">
        <v>18</v>
      </c>
      <c r="B23" s="620" t="s">
        <v>726</v>
      </c>
      <c r="C23" s="753"/>
    </row>
    <row r="24" spans="1:5" s="4" customFormat="1" ht="25.5">
      <c r="A24" s="90">
        <v>19</v>
      </c>
      <c r="B24" s="42" t="s">
        <v>44</v>
      </c>
      <c r="C24" s="753"/>
    </row>
    <row r="25" spans="1:5" s="4" customFormat="1" ht="25.5">
      <c r="A25" s="90">
        <v>20</v>
      </c>
      <c r="B25" s="42" t="s">
        <v>45</v>
      </c>
      <c r="C25" s="753"/>
    </row>
    <row r="26" spans="1:5" s="4" customFormat="1" ht="25.5">
      <c r="A26" s="90">
        <v>21</v>
      </c>
      <c r="B26" s="45" t="s">
        <v>46</v>
      </c>
      <c r="C26" s="753"/>
    </row>
    <row r="27" spans="1:5" s="4" customFormat="1">
      <c r="A27" s="90">
        <v>22</v>
      </c>
      <c r="B27" s="45" t="s">
        <v>47</v>
      </c>
      <c r="C27" s="753"/>
    </row>
    <row r="28" spans="1:5" s="4" customFormat="1" ht="25.5">
      <c r="A28" s="90">
        <v>23</v>
      </c>
      <c r="B28" s="45" t="s">
        <v>48</v>
      </c>
      <c r="C28" s="753"/>
    </row>
    <row r="29" spans="1:5" s="4" customFormat="1">
      <c r="A29" s="90">
        <v>24</v>
      </c>
      <c r="B29" s="51" t="s">
        <v>22</v>
      </c>
      <c r="C29" s="752">
        <f>C6-C12</f>
        <v>247437189.92262694</v>
      </c>
      <c r="E29" s="661">
        <f>C29-'1. key ratios'!C8</f>
        <v>0</v>
      </c>
    </row>
    <row r="30" spans="1:5" s="4" customFormat="1">
      <c r="A30" s="92"/>
      <c r="B30" s="46"/>
      <c r="C30" s="753"/>
    </row>
    <row r="31" spans="1:5" s="4" customFormat="1">
      <c r="A31" s="92">
        <v>25</v>
      </c>
      <c r="B31" s="51" t="s">
        <v>49</v>
      </c>
      <c r="C31" s="752">
        <f>C32+C35</f>
        <v>56154400</v>
      </c>
    </row>
    <row r="32" spans="1:5" s="4" customFormat="1">
      <c r="A32" s="92">
        <v>26</v>
      </c>
      <c r="B32" s="41" t="s">
        <v>50</v>
      </c>
      <c r="C32" s="754">
        <f>C33+C34</f>
        <v>56154400</v>
      </c>
    </row>
    <row r="33" spans="1:3" s="4" customFormat="1">
      <c r="A33" s="92">
        <v>27</v>
      </c>
      <c r="B33" s="124" t="s">
        <v>51</v>
      </c>
      <c r="C33" s="753">
        <v>56154400</v>
      </c>
    </row>
    <row r="34" spans="1:3" s="4" customFormat="1">
      <c r="A34" s="92">
        <v>28</v>
      </c>
      <c r="B34" s="124" t="s">
        <v>52</v>
      </c>
      <c r="C34" s="753"/>
    </row>
    <row r="35" spans="1:3" s="4" customFormat="1">
      <c r="A35" s="92">
        <v>29</v>
      </c>
      <c r="B35" s="41" t="s">
        <v>53</v>
      </c>
      <c r="C35" s="753"/>
    </row>
    <row r="36" spans="1:3" s="4" customFormat="1">
      <c r="A36" s="92">
        <v>30</v>
      </c>
      <c r="B36" s="51" t="s">
        <v>54</v>
      </c>
      <c r="C36" s="752">
        <f>SUM(C37:C41)</f>
        <v>0</v>
      </c>
    </row>
    <row r="37" spans="1:3" s="4" customFormat="1">
      <c r="A37" s="92">
        <v>31</v>
      </c>
      <c r="B37" s="42" t="s">
        <v>55</v>
      </c>
      <c r="C37" s="753"/>
    </row>
    <row r="38" spans="1:3" s="4" customFormat="1">
      <c r="A38" s="92">
        <v>32</v>
      </c>
      <c r="B38" s="43" t="s">
        <v>56</v>
      </c>
      <c r="C38" s="753"/>
    </row>
    <row r="39" spans="1:3" s="4" customFormat="1" ht="25.5">
      <c r="A39" s="92">
        <v>33</v>
      </c>
      <c r="B39" s="42" t="s">
        <v>57</v>
      </c>
      <c r="C39" s="753"/>
    </row>
    <row r="40" spans="1:3" s="4" customFormat="1" ht="25.5">
      <c r="A40" s="92">
        <v>34</v>
      </c>
      <c r="B40" s="42" t="s">
        <v>45</v>
      </c>
      <c r="C40" s="753"/>
    </row>
    <row r="41" spans="1:3" s="4" customFormat="1" ht="25.5">
      <c r="A41" s="92">
        <v>35</v>
      </c>
      <c r="B41" s="45" t="s">
        <v>58</v>
      </c>
      <c r="C41" s="753"/>
    </row>
    <row r="42" spans="1:3" s="4" customFormat="1">
      <c r="A42" s="92">
        <v>36</v>
      </c>
      <c r="B42" s="51" t="s">
        <v>23</v>
      </c>
      <c r="C42" s="752">
        <f>C31-C36</f>
        <v>56154400</v>
      </c>
    </row>
    <row r="43" spans="1:3" s="4" customFormat="1">
      <c r="A43" s="92"/>
      <c r="B43" s="46"/>
      <c r="C43" s="753"/>
    </row>
    <row r="44" spans="1:3" s="4" customFormat="1">
      <c r="A44" s="92">
        <v>37</v>
      </c>
      <c r="B44" s="52" t="s">
        <v>59</v>
      </c>
      <c r="C44" s="752">
        <f>SUM(C45:C47)</f>
        <v>73777633.902620003</v>
      </c>
    </row>
    <row r="45" spans="1:3" s="4" customFormat="1">
      <c r="A45" s="92">
        <v>38</v>
      </c>
      <c r="B45" s="41" t="s">
        <v>60</v>
      </c>
      <c r="C45" s="753">
        <v>73777633.902620003</v>
      </c>
    </row>
    <row r="46" spans="1:3" s="4" customFormat="1">
      <c r="A46" s="92">
        <v>39</v>
      </c>
      <c r="B46" s="41" t="s">
        <v>61</v>
      </c>
      <c r="C46" s="753"/>
    </row>
    <row r="47" spans="1:3" s="4" customFormat="1">
      <c r="A47" s="92">
        <v>40</v>
      </c>
      <c r="B47" s="621" t="s">
        <v>725</v>
      </c>
      <c r="C47" s="753"/>
    </row>
    <row r="48" spans="1:3" s="4" customFormat="1">
      <c r="A48" s="92">
        <v>41</v>
      </c>
      <c r="B48" s="52" t="s">
        <v>62</v>
      </c>
      <c r="C48" s="752">
        <f>SUM(C49:C52)</f>
        <v>0</v>
      </c>
    </row>
    <row r="49" spans="1:3" s="4" customFormat="1">
      <c r="A49" s="92">
        <v>42</v>
      </c>
      <c r="B49" s="42" t="s">
        <v>63</v>
      </c>
      <c r="C49" s="753"/>
    </row>
    <row r="50" spans="1:3" s="4" customFormat="1">
      <c r="A50" s="92">
        <v>43</v>
      </c>
      <c r="B50" s="43" t="s">
        <v>64</v>
      </c>
      <c r="C50" s="753"/>
    </row>
    <row r="51" spans="1:3" s="4" customFormat="1" ht="25.5">
      <c r="A51" s="92">
        <v>44</v>
      </c>
      <c r="B51" s="42" t="s">
        <v>65</v>
      </c>
      <c r="C51" s="753"/>
    </row>
    <row r="52" spans="1:3" s="4" customFormat="1" ht="25.5">
      <c r="A52" s="92">
        <v>45</v>
      </c>
      <c r="B52" s="42" t="s">
        <v>45</v>
      </c>
      <c r="C52" s="753"/>
    </row>
    <row r="53" spans="1:3" s="4" customFormat="1" ht="15.75" thickBot="1">
      <c r="A53" s="92">
        <v>46</v>
      </c>
      <c r="B53" s="93" t="s">
        <v>24</v>
      </c>
      <c r="C53" s="181">
        <f>C44-C48</f>
        <v>73777633.902620003</v>
      </c>
    </row>
    <row r="55" spans="1:3">
      <c r="C55" s="697">
        <f>C29+C31+C44-'1. key ratios'!C10</f>
        <v>0</v>
      </c>
    </row>
    <row r="56" spans="1:3">
      <c r="B56" s="2" t="s">
        <v>141</v>
      </c>
      <c r="C56" s="697"/>
    </row>
    <row r="57" spans="1:3">
      <c r="C57" s="697"/>
    </row>
    <row r="58" spans="1:3">
      <c r="C58" s="697"/>
    </row>
    <row r="59" spans="1:3">
      <c r="C59" s="697"/>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15" sqref="C15:C17"/>
    </sheetView>
  </sheetViews>
  <sheetFormatPr defaultColWidth="9.28515625" defaultRowHeight="12.75"/>
  <cols>
    <col min="1" max="1" width="10.7109375" style="229" bestFit="1" customWidth="1"/>
    <col min="2" max="2" width="59" style="229" customWidth="1"/>
    <col min="3" max="3" width="16.7109375" style="229" bestFit="1" customWidth="1"/>
    <col min="4" max="4" width="22.28515625" style="229" customWidth="1"/>
    <col min="5" max="5" width="15" style="229" customWidth="1"/>
    <col min="6" max="16384" width="9.28515625" style="229"/>
  </cols>
  <sheetData>
    <row r="1" spans="1:4" ht="15">
      <c r="A1" s="17" t="s">
        <v>108</v>
      </c>
      <c r="B1" s="16" t="str">
        <f>Info!C2</f>
        <v>JSC "VTB Bank (Georgia)"</v>
      </c>
    </row>
    <row r="2" spans="1:4" s="21" customFormat="1" ht="15.75" customHeight="1">
      <c r="A2" s="21" t="s">
        <v>109</v>
      </c>
      <c r="B2" s="339">
        <f>Info!D2</f>
        <v>45473</v>
      </c>
    </row>
    <row r="3" spans="1:4" s="21" customFormat="1" ht="15.75" customHeight="1"/>
    <row r="4" spans="1:4" ht="13.5" thickBot="1">
      <c r="A4" s="230" t="s">
        <v>357</v>
      </c>
      <c r="B4" s="259" t="s">
        <v>358</v>
      </c>
    </row>
    <row r="5" spans="1:4" s="260" customFormat="1">
      <c r="A5" s="836" t="s">
        <v>359</v>
      </c>
      <c r="B5" s="837"/>
      <c r="C5" s="249" t="s">
        <v>360</v>
      </c>
      <c r="D5" s="250" t="s">
        <v>361</v>
      </c>
    </row>
    <row r="6" spans="1:4" s="261" customFormat="1">
      <c r="A6" s="251">
        <v>1</v>
      </c>
      <c r="B6" s="252" t="s">
        <v>362</v>
      </c>
      <c r="C6" s="252"/>
      <c r="D6" s="253"/>
    </row>
    <row r="7" spans="1:4" s="261" customFormat="1">
      <c r="A7" s="254" t="s">
        <v>363</v>
      </c>
      <c r="B7" s="255" t="s">
        <v>364</v>
      </c>
      <c r="C7" s="755">
        <v>4.4999999999999998E-2</v>
      </c>
      <c r="D7" s="660">
        <f>C7*'5. RWA'!$C$13</f>
        <v>26786265.560843162</v>
      </c>
    </row>
    <row r="8" spans="1:4" s="261" customFormat="1">
      <c r="A8" s="254" t="s">
        <v>365</v>
      </c>
      <c r="B8" s="255" t="s">
        <v>366</v>
      </c>
      <c r="C8" s="756">
        <v>0.06</v>
      </c>
      <c r="D8" s="660">
        <f>C8*'5. RWA'!$C$13</f>
        <v>35715020.747790881</v>
      </c>
    </row>
    <row r="9" spans="1:4" s="261" customFormat="1">
      <c r="A9" s="254" t="s">
        <v>367</v>
      </c>
      <c r="B9" s="255" t="s">
        <v>368</v>
      </c>
      <c r="C9" s="756">
        <v>0.08</v>
      </c>
      <c r="D9" s="660">
        <f>C9*'5. RWA'!$C$13</f>
        <v>47620027.663721181</v>
      </c>
    </row>
    <row r="10" spans="1:4" s="261" customFormat="1">
      <c r="A10" s="251" t="s">
        <v>369</v>
      </c>
      <c r="B10" s="252" t="s">
        <v>370</v>
      </c>
      <c r="C10" s="757"/>
      <c r="D10" s="659"/>
    </row>
    <row r="11" spans="1:4" s="262" customFormat="1">
      <c r="A11" s="256" t="s">
        <v>371</v>
      </c>
      <c r="B11" s="257" t="s">
        <v>433</v>
      </c>
      <c r="C11" s="709">
        <v>2.5000000000000001E-2</v>
      </c>
      <c r="D11" s="658">
        <f>C11*'5. RWA'!$C$13</f>
        <v>14881258.644912869</v>
      </c>
    </row>
    <row r="12" spans="1:4" s="262" customFormat="1">
      <c r="A12" s="256" t="s">
        <v>372</v>
      </c>
      <c r="B12" s="257" t="s">
        <v>373</v>
      </c>
      <c r="C12" s="709">
        <v>2.5000000000000001E-3</v>
      </c>
      <c r="D12" s="658">
        <f>C12*'5. RWA'!$C$13</f>
        <v>1488125.8644912869</v>
      </c>
    </row>
    <row r="13" spans="1:4" s="262" customFormat="1">
      <c r="A13" s="256" t="s">
        <v>374</v>
      </c>
      <c r="B13" s="257" t="s">
        <v>375</v>
      </c>
      <c r="C13" s="709"/>
      <c r="D13" s="658">
        <f>C13*'5. RWA'!$C$13</f>
        <v>0</v>
      </c>
    </row>
    <row r="14" spans="1:4" s="261" customFormat="1">
      <c r="A14" s="251" t="s">
        <v>376</v>
      </c>
      <c r="B14" s="252" t="s">
        <v>431</v>
      </c>
      <c r="C14" s="758"/>
      <c r="D14" s="659"/>
    </row>
    <row r="15" spans="1:4" s="261" customFormat="1">
      <c r="A15" s="271" t="s">
        <v>379</v>
      </c>
      <c r="B15" s="257" t="s">
        <v>432</v>
      </c>
      <c r="C15" s="709">
        <v>0.14089499575977482</v>
      </c>
      <c r="D15" s="658">
        <f>C15*'5. RWA'!$C$13</f>
        <v>83867794.947004437</v>
      </c>
    </row>
    <row r="16" spans="1:4" s="261" customFormat="1">
      <c r="A16" s="271" t="s">
        <v>380</v>
      </c>
      <c r="B16" s="257" t="s">
        <v>382</v>
      </c>
      <c r="C16" s="709">
        <v>0.15571340640392681</v>
      </c>
      <c r="D16" s="658">
        <f>C16*'5. RWA'!$C$13</f>
        <v>92688459.007090673</v>
      </c>
    </row>
    <row r="17" spans="1:6" s="261" customFormat="1">
      <c r="A17" s="271" t="s">
        <v>381</v>
      </c>
      <c r="B17" s="257" t="s">
        <v>429</v>
      </c>
      <c r="C17" s="709">
        <v>0.17521131514623206</v>
      </c>
      <c r="D17" s="658">
        <f>C17*'5. RWA'!$C$13</f>
        <v>104294595.92825675</v>
      </c>
    </row>
    <row r="18" spans="1:6" s="260" customFormat="1">
      <c r="A18" s="838" t="s">
        <v>430</v>
      </c>
      <c r="B18" s="839"/>
      <c r="C18" s="306" t="s">
        <v>360</v>
      </c>
      <c r="D18" s="657" t="s">
        <v>361</v>
      </c>
    </row>
    <row r="19" spans="1:6" s="261" customFormat="1">
      <c r="A19" s="258">
        <v>4</v>
      </c>
      <c r="B19" s="257" t="s">
        <v>22</v>
      </c>
      <c r="C19" s="305">
        <f>C7+C11+C12+C13+C15</f>
        <v>0.21339499575977483</v>
      </c>
      <c r="D19" s="660">
        <f>C19*'5. RWA'!$C$13</f>
        <v>127023445.01725176</v>
      </c>
      <c r="E19" s="710">
        <f>D19-'1. key ratios'!C11</f>
        <v>0</v>
      </c>
    </row>
    <row r="20" spans="1:6" s="261" customFormat="1">
      <c r="A20" s="258">
        <v>5</v>
      </c>
      <c r="B20" s="257" t="s">
        <v>86</v>
      </c>
      <c r="C20" s="305">
        <f>C8+C11+C12+C13+C16</f>
        <v>0.2432134064039268</v>
      </c>
      <c r="D20" s="660">
        <f>C20*'5. RWA'!$C$13</f>
        <v>144772864.26428571</v>
      </c>
      <c r="E20" s="710">
        <f>D20-'1. key ratios'!C12</f>
        <v>0</v>
      </c>
    </row>
    <row r="21" spans="1:6" s="261" customFormat="1" ht="13.5" thickBot="1">
      <c r="A21" s="263" t="s">
        <v>377</v>
      </c>
      <c r="B21" s="264" t="s">
        <v>85</v>
      </c>
      <c r="C21" s="307">
        <f>C9+C11+C12+C13+C17</f>
        <v>0.28271131514623205</v>
      </c>
      <c r="D21" s="656">
        <f>C21*'5. RWA'!$C$13</f>
        <v>168284008.10138208</v>
      </c>
      <c r="E21" s="710">
        <f>D21-'1. key ratios'!C13</f>
        <v>0</v>
      </c>
    </row>
    <row r="22" spans="1:6">
      <c r="F22" s="230"/>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80" zoomScaleNormal="80" workbookViewId="0">
      <pane xSplit="1" ySplit="5" topLeftCell="B38" activePane="bottomRight" state="frozen"/>
      <selection activeCell="B2" sqref="B2"/>
      <selection pane="topRight" activeCell="B2" sqref="B2"/>
      <selection pane="bottomLeft" activeCell="B2" sqref="B2"/>
      <selection pane="bottomRight" activeCell="C58" sqref="C58"/>
    </sheetView>
  </sheetViews>
  <sheetFormatPr defaultRowHeight="15.75"/>
  <cols>
    <col min="1" max="1" width="10.7109375" style="38" customWidth="1"/>
    <col min="2" max="2" width="91.7109375" style="38" customWidth="1"/>
    <col min="3" max="3" width="53.28515625" style="652"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9">
        <f>Info!D2</f>
        <v>45473</v>
      </c>
      <c r="C2" s="651"/>
    </row>
    <row r="3" spans="1:6" s="21" customFormat="1" ht="15.75" customHeight="1">
      <c r="A3" s="26"/>
      <c r="C3" s="651"/>
    </row>
    <row r="4" spans="1:6" s="21" customFormat="1" ht="15.75" customHeight="1" thickBot="1">
      <c r="A4" s="21" t="s">
        <v>258</v>
      </c>
      <c r="B4" s="147" t="s">
        <v>172</v>
      </c>
      <c r="C4" s="651"/>
      <c r="D4" s="149" t="s">
        <v>87</v>
      </c>
    </row>
    <row r="5" spans="1:6" ht="25.5">
      <c r="A5" s="99" t="s">
        <v>25</v>
      </c>
      <c r="B5" s="100" t="s">
        <v>144</v>
      </c>
      <c r="C5" s="650" t="s">
        <v>858</v>
      </c>
      <c r="D5" s="148" t="s">
        <v>173</v>
      </c>
    </row>
    <row r="6" spans="1:6">
      <c r="A6" s="448">
        <v>1</v>
      </c>
      <c r="B6" s="405" t="s">
        <v>843</v>
      </c>
      <c r="C6" s="649">
        <f>SUM(C7:C9)</f>
        <v>163000664.70110002</v>
      </c>
      <c r="D6" s="94"/>
      <c r="E6" s="7"/>
    </row>
    <row r="7" spans="1:6">
      <c r="A7" s="448">
        <v>1.1000000000000001</v>
      </c>
      <c r="B7" s="406" t="s">
        <v>96</v>
      </c>
      <c r="C7" s="648">
        <v>156119934.15830001</v>
      </c>
      <c r="D7" s="95"/>
      <c r="E7" s="7"/>
    </row>
    <row r="8" spans="1:6">
      <c r="A8" s="448">
        <v>1.2</v>
      </c>
      <c r="B8" s="406" t="s">
        <v>97</v>
      </c>
      <c r="C8" s="648">
        <v>351.36</v>
      </c>
      <c r="D8" s="95"/>
      <c r="E8" s="7"/>
    </row>
    <row r="9" spans="1:6">
      <c r="A9" s="448">
        <v>1.3</v>
      </c>
      <c r="B9" s="406" t="s">
        <v>98</v>
      </c>
      <c r="C9" s="648">
        <v>6880379.1827999996</v>
      </c>
      <c r="D9" s="95"/>
      <c r="E9" s="7"/>
    </row>
    <row r="10" spans="1:6">
      <c r="A10" s="448">
        <v>2</v>
      </c>
      <c r="B10" s="407" t="s">
        <v>730</v>
      </c>
      <c r="C10" s="647"/>
      <c r="D10" s="95"/>
      <c r="E10" s="7"/>
    </row>
    <row r="11" spans="1:6">
      <c r="A11" s="448">
        <v>2.1</v>
      </c>
      <c r="B11" s="408" t="s">
        <v>731</v>
      </c>
      <c r="C11" s="646"/>
      <c r="D11" s="96"/>
      <c r="E11" s="8"/>
    </row>
    <row r="12" spans="1:6" ht="23.85" customHeight="1">
      <c r="A12" s="448">
        <v>3</v>
      </c>
      <c r="B12" s="409" t="s">
        <v>732</v>
      </c>
      <c r="C12" s="645"/>
      <c r="D12" s="96"/>
      <c r="E12" s="8"/>
    </row>
    <row r="13" spans="1:6" ht="23.1" customHeight="1">
      <c r="A13" s="448">
        <v>4</v>
      </c>
      <c r="B13" s="410" t="s">
        <v>733</v>
      </c>
      <c r="C13" s="645"/>
      <c r="D13" s="96"/>
      <c r="E13" s="8"/>
    </row>
    <row r="14" spans="1:6">
      <c r="A14" s="448">
        <v>5</v>
      </c>
      <c r="B14" s="410" t="s">
        <v>734</v>
      </c>
      <c r="C14" s="645">
        <f>SUM(C15:C17)</f>
        <v>0</v>
      </c>
      <c r="D14" s="96"/>
      <c r="E14" s="8"/>
    </row>
    <row r="15" spans="1:6">
      <c r="A15" s="448">
        <v>5.0999999999999996</v>
      </c>
      <c r="B15" s="411" t="s">
        <v>735</v>
      </c>
      <c r="C15" s="644"/>
      <c r="D15" s="96"/>
      <c r="E15" s="7"/>
    </row>
    <row r="16" spans="1:6">
      <c r="A16" s="448">
        <v>5.2</v>
      </c>
      <c r="B16" s="411" t="s">
        <v>569</v>
      </c>
      <c r="C16" s="648"/>
      <c r="D16" s="95"/>
      <c r="E16" s="7"/>
    </row>
    <row r="17" spans="1:5">
      <c r="A17" s="448">
        <v>5.3</v>
      </c>
      <c r="B17" s="411" t="s">
        <v>736</v>
      </c>
      <c r="C17" s="648"/>
      <c r="D17" s="95"/>
      <c r="E17" s="7"/>
    </row>
    <row r="18" spans="1:5">
      <c r="A18" s="448">
        <v>6</v>
      </c>
      <c r="B18" s="409" t="s">
        <v>737</v>
      </c>
      <c r="C18" s="647">
        <f>SUM(C19:C20)</f>
        <v>195005351.12302586</v>
      </c>
      <c r="D18" s="95"/>
      <c r="E18" s="7"/>
    </row>
    <row r="19" spans="1:5">
      <c r="A19" s="448">
        <v>6.1</v>
      </c>
      <c r="B19" s="411" t="s">
        <v>569</v>
      </c>
      <c r="C19" s="646"/>
      <c r="D19" s="95"/>
      <c r="E19" s="7"/>
    </row>
    <row r="20" spans="1:5">
      <c r="A20" s="448">
        <v>6.2</v>
      </c>
      <c r="B20" s="411" t="s">
        <v>736</v>
      </c>
      <c r="C20" s="646">
        <v>195005351.12302586</v>
      </c>
      <c r="D20" s="95"/>
      <c r="E20" s="7"/>
    </row>
    <row r="21" spans="1:5">
      <c r="A21" s="448">
        <v>7</v>
      </c>
      <c r="B21" s="412" t="s">
        <v>738</v>
      </c>
      <c r="C21" s="645">
        <f>'2. SOFP'!E22</f>
        <v>54000</v>
      </c>
      <c r="D21" s="95"/>
      <c r="E21" s="7"/>
    </row>
    <row r="22" spans="1:5">
      <c r="A22" s="448">
        <v>8</v>
      </c>
      <c r="B22" s="413" t="s">
        <v>739</v>
      </c>
      <c r="C22" s="647"/>
      <c r="D22" s="95"/>
      <c r="E22" s="7"/>
    </row>
    <row r="23" spans="1:5">
      <c r="A23" s="448">
        <v>9</v>
      </c>
      <c r="B23" s="410" t="s">
        <v>740</v>
      </c>
      <c r="C23" s="647">
        <f>SUM(C24:C25)</f>
        <v>62112391.230000004</v>
      </c>
      <c r="D23" s="475"/>
      <c r="E23" s="7"/>
    </row>
    <row r="24" spans="1:5">
      <c r="A24" s="448">
        <v>9.1</v>
      </c>
      <c r="B24" s="414" t="s">
        <v>741</v>
      </c>
      <c r="C24" s="643">
        <f>'7. LI1'!C26</f>
        <v>33937909.550000004</v>
      </c>
      <c r="D24" s="97"/>
      <c r="E24" s="7"/>
    </row>
    <row r="25" spans="1:5">
      <c r="A25" s="448">
        <v>9.1999999999999993</v>
      </c>
      <c r="B25" s="414" t="s">
        <v>742</v>
      </c>
      <c r="C25" s="643">
        <f>'7. LI1'!C27</f>
        <v>28174481.68</v>
      </c>
      <c r="D25" s="474"/>
      <c r="E25" s="6"/>
    </row>
    <row r="26" spans="1:5">
      <c r="A26" s="448">
        <v>10</v>
      </c>
      <c r="B26" s="410" t="s">
        <v>36</v>
      </c>
      <c r="C26" s="642">
        <f>SUM(C27:C28)</f>
        <v>1120927.04</v>
      </c>
      <c r="D26" s="616" t="s">
        <v>935</v>
      </c>
      <c r="E26" s="7"/>
    </row>
    <row r="27" spans="1:5">
      <c r="A27" s="448">
        <v>10.1</v>
      </c>
      <c r="B27" s="414" t="s">
        <v>743</v>
      </c>
      <c r="C27" s="648">
        <f>'7. LI1'!C29</f>
        <v>0</v>
      </c>
      <c r="D27" s="95"/>
      <c r="E27" s="7"/>
    </row>
    <row r="28" spans="1:5">
      <c r="A28" s="448">
        <v>10.199999999999999</v>
      </c>
      <c r="B28" s="414" t="s">
        <v>744</v>
      </c>
      <c r="C28" s="648">
        <f>'7. LI1'!C30</f>
        <v>1120927.04</v>
      </c>
      <c r="D28" s="95"/>
      <c r="E28" s="7"/>
    </row>
    <row r="29" spans="1:5">
      <c r="A29" s="448">
        <v>11</v>
      </c>
      <c r="B29" s="410" t="s">
        <v>745</v>
      </c>
      <c r="C29" s="647">
        <f>SUM(C30:C31)</f>
        <v>929001.43</v>
      </c>
      <c r="D29" s="95"/>
      <c r="E29" s="7"/>
    </row>
    <row r="30" spans="1:5">
      <c r="A30" s="448">
        <v>11.1</v>
      </c>
      <c r="B30" s="414" t="s">
        <v>746</v>
      </c>
      <c r="C30" s="648">
        <f>'7. LI1'!C32</f>
        <v>929001.43</v>
      </c>
      <c r="D30" s="95"/>
      <c r="E30" s="7"/>
    </row>
    <row r="31" spans="1:5">
      <c r="A31" s="448">
        <v>11.2</v>
      </c>
      <c r="B31" s="414" t="s">
        <v>747</v>
      </c>
      <c r="C31" s="648">
        <f>'7. LI1'!C33</f>
        <v>0</v>
      </c>
      <c r="D31" s="95"/>
      <c r="E31" s="7"/>
    </row>
    <row r="32" spans="1:5">
      <c r="A32" s="448">
        <v>13</v>
      </c>
      <c r="B32" s="410" t="s">
        <v>99</v>
      </c>
      <c r="C32" s="647">
        <f>'2. SOFP'!E33</f>
        <v>40247488.414930895</v>
      </c>
      <c r="D32" s="95"/>
      <c r="E32" s="7"/>
    </row>
    <row r="33" spans="1:5">
      <c r="A33" s="448">
        <v>13.1</v>
      </c>
      <c r="B33" s="415" t="s">
        <v>748</v>
      </c>
      <c r="C33" s="648">
        <f>'2. SOFP'!E34</f>
        <v>22019563.32</v>
      </c>
      <c r="D33" s="95"/>
      <c r="E33" s="7"/>
    </row>
    <row r="34" spans="1:5">
      <c r="A34" s="448">
        <v>13.2</v>
      </c>
      <c r="B34" s="415" t="s">
        <v>749</v>
      </c>
      <c r="C34" s="643"/>
      <c r="D34" s="97"/>
      <c r="E34" s="7"/>
    </row>
    <row r="35" spans="1:5">
      <c r="A35" s="448">
        <v>14</v>
      </c>
      <c r="B35" s="416" t="s">
        <v>750</v>
      </c>
      <c r="C35" s="641">
        <f>SUM(C6,C10,C12,C13,C14,C18,C21,C22,C23,C26,C29,C32)</f>
        <v>462469823.93905681</v>
      </c>
      <c r="D35" s="97"/>
      <c r="E35" s="7"/>
    </row>
    <row r="36" spans="1:5">
      <c r="A36" s="448"/>
      <c r="B36" s="417" t="s">
        <v>104</v>
      </c>
      <c r="C36" s="640"/>
      <c r="D36" s="98"/>
      <c r="E36" s="7"/>
    </row>
    <row r="37" spans="1:5">
      <c r="A37" s="448">
        <v>15</v>
      </c>
      <c r="B37" s="418" t="s">
        <v>751</v>
      </c>
      <c r="C37" s="639"/>
      <c r="D37" s="474"/>
      <c r="E37" s="6"/>
    </row>
    <row r="38" spans="1:5">
      <c r="A38" s="448">
        <v>15.1</v>
      </c>
      <c r="B38" s="419" t="s">
        <v>731</v>
      </c>
      <c r="C38" s="648"/>
      <c r="D38" s="95"/>
      <c r="E38" s="7"/>
    </row>
    <row r="39" spans="1:5" ht="21">
      <c r="A39" s="448">
        <v>16</v>
      </c>
      <c r="B39" s="412" t="s">
        <v>752</v>
      </c>
      <c r="C39" s="647"/>
      <c r="D39" s="95"/>
      <c r="E39" s="7"/>
    </row>
    <row r="40" spans="1:5">
      <c r="A40" s="448">
        <v>17</v>
      </c>
      <c r="B40" s="412" t="s">
        <v>753</v>
      </c>
      <c r="C40" s="647">
        <f>SUM(C41:C44)</f>
        <v>16984501.422499999</v>
      </c>
      <c r="D40" s="95"/>
      <c r="E40" s="7"/>
    </row>
    <row r="41" spans="1:5">
      <c r="A41" s="448">
        <v>17.100000000000001</v>
      </c>
      <c r="B41" s="420" t="s">
        <v>754</v>
      </c>
      <c r="C41" s="648">
        <v>16984501.422499999</v>
      </c>
      <c r="D41" s="95"/>
      <c r="E41" s="7"/>
    </row>
    <row r="42" spans="1:5">
      <c r="A42" s="463">
        <v>17.2</v>
      </c>
      <c r="B42" s="464" t="s">
        <v>100</v>
      </c>
      <c r="C42" s="643"/>
      <c r="D42" s="97"/>
      <c r="E42" s="7"/>
    </row>
    <row r="43" spans="1:5">
      <c r="A43" s="448">
        <v>17.3</v>
      </c>
      <c r="B43" s="465" t="s">
        <v>755</v>
      </c>
      <c r="C43" s="653"/>
      <c r="D43" s="466"/>
      <c r="E43" s="7"/>
    </row>
    <row r="44" spans="1:5">
      <c r="A44" s="448">
        <v>17.399999999999999</v>
      </c>
      <c r="B44" s="465" t="s">
        <v>756</v>
      </c>
      <c r="C44" s="653"/>
      <c r="D44" s="466"/>
      <c r="E44" s="7"/>
    </row>
    <row r="45" spans="1:5">
      <c r="A45" s="448">
        <v>18</v>
      </c>
      <c r="B45" s="467" t="s">
        <v>757</v>
      </c>
      <c r="C45" s="638"/>
      <c r="D45" s="473"/>
      <c r="E45" s="6"/>
    </row>
    <row r="46" spans="1:5">
      <c r="A46" s="448">
        <v>19</v>
      </c>
      <c r="B46" s="467" t="s">
        <v>758</v>
      </c>
      <c r="C46" s="655">
        <f>SUM(C47:C48)</f>
        <v>0</v>
      </c>
      <c r="D46" s="468"/>
    </row>
    <row r="47" spans="1:5">
      <c r="A47" s="448">
        <v>19.100000000000001</v>
      </c>
      <c r="B47" s="469" t="s">
        <v>759</v>
      </c>
      <c r="C47" s="653"/>
      <c r="D47" s="468"/>
    </row>
    <row r="48" spans="1:5">
      <c r="A48" s="448">
        <v>19.2</v>
      </c>
      <c r="B48" s="469" t="s">
        <v>760</v>
      </c>
      <c r="C48" s="653"/>
      <c r="D48" s="468"/>
    </row>
    <row r="49" spans="1:4">
      <c r="A49" s="448">
        <v>20</v>
      </c>
      <c r="B49" s="425" t="s">
        <v>101</v>
      </c>
      <c r="C49" s="654">
        <v>110466980.5587</v>
      </c>
      <c r="D49" s="468"/>
    </row>
    <row r="50" spans="1:4">
      <c r="A50" s="448">
        <v>21</v>
      </c>
      <c r="B50" s="426" t="s">
        <v>89</v>
      </c>
      <c r="C50" s="654">
        <v>18613849.99522981</v>
      </c>
      <c r="D50" s="468"/>
    </row>
    <row r="51" spans="1:4">
      <c r="A51" s="448">
        <v>21.1</v>
      </c>
      <c r="B51" s="421" t="s">
        <v>761</v>
      </c>
      <c r="C51" s="653">
        <f>'2. SOFP'!E52</f>
        <v>1060412.6299999999</v>
      </c>
      <c r="D51" s="468"/>
    </row>
    <row r="52" spans="1:4">
      <c r="A52" s="448">
        <v>22</v>
      </c>
      <c r="B52" s="425" t="s">
        <v>762</v>
      </c>
      <c r="C52" s="654">
        <f>SUM(C37,C39,C40,C45,C46,C49,C50)</f>
        <v>146065331.97642982</v>
      </c>
      <c r="D52" s="468"/>
    </row>
    <row r="53" spans="1:4">
      <c r="A53" s="448"/>
      <c r="B53" s="427" t="s">
        <v>763</v>
      </c>
      <c r="C53" s="653"/>
      <c r="D53" s="468"/>
    </row>
    <row r="54" spans="1:4">
      <c r="A54" s="448">
        <v>23</v>
      </c>
      <c r="B54" s="425" t="s">
        <v>105</v>
      </c>
      <c r="C54" s="654">
        <v>209008277</v>
      </c>
      <c r="D54" s="468"/>
    </row>
    <row r="55" spans="1:4">
      <c r="A55" s="448">
        <v>24</v>
      </c>
      <c r="B55" s="425" t="s">
        <v>764</v>
      </c>
      <c r="C55" s="654">
        <v>0</v>
      </c>
      <c r="D55" s="468"/>
    </row>
    <row r="56" spans="1:4">
      <c r="A56" s="448">
        <v>25</v>
      </c>
      <c r="B56" s="428" t="s">
        <v>102</v>
      </c>
      <c r="C56" s="654"/>
      <c r="D56" s="468"/>
    </row>
    <row r="57" spans="1:4">
      <c r="A57" s="448">
        <v>26</v>
      </c>
      <c r="B57" s="467" t="s">
        <v>765</v>
      </c>
      <c r="C57" s="654"/>
      <c r="D57" s="468"/>
    </row>
    <row r="58" spans="1:4">
      <c r="A58" s="448">
        <v>27</v>
      </c>
      <c r="B58" s="467" t="s">
        <v>766</v>
      </c>
      <c r="C58" s="654">
        <f>SUM(C59:C60)</f>
        <v>56154400</v>
      </c>
      <c r="D58" s="468"/>
    </row>
    <row r="59" spans="1:4">
      <c r="A59" s="448">
        <v>27.1</v>
      </c>
      <c r="B59" s="470" t="s">
        <v>767</v>
      </c>
      <c r="C59" s="653"/>
      <c r="D59" s="468"/>
    </row>
    <row r="60" spans="1:4">
      <c r="A60" s="448">
        <v>27.2</v>
      </c>
      <c r="B60" s="465" t="s">
        <v>768</v>
      </c>
      <c r="C60" s="653">
        <v>56154400</v>
      </c>
      <c r="D60" s="468"/>
    </row>
    <row r="61" spans="1:4">
      <c r="A61" s="448">
        <v>28</v>
      </c>
      <c r="B61" s="426" t="s">
        <v>769</v>
      </c>
      <c r="C61" s="654"/>
      <c r="D61" s="468"/>
    </row>
    <row r="62" spans="1:4">
      <c r="A62" s="448">
        <v>29</v>
      </c>
      <c r="B62" s="467" t="s">
        <v>770</v>
      </c>
      <c r="C62" s="654">
        <f>SUM(C63:C65)</f>
        <v>11691975</v>
      </c>
      <c r="D62" s="468"/>
    </row>
    <row r="63" spans="1:4">
      <c r="A63" s="448">
        <v>29.1</v>
      </c>
      <c r="B63" s="471" t="s">
        <v>771</v>
      </c>
      <c r="C63" s="653">
        <v>11691975</v>
      </c>
      <c r="D63" s="468"/>
    </row>
    <row r="64" spans="1:4" ht="24" customHeight="1">
      <c r="A64" s="448">
        <v>29.2</v>
      </c>
      <c r="B64" s="470" t="s">
        <v>772</v>
      </c>
      <c r="C64" s="653"/>
      <c r="D64" s="468"/>
    </row>
    <row r="65" spans="1:4" ht="22.35" customHeight="1">
      <c r="A65" s="448">
        <v>29.3</v>
      </c>
      <c r="B65" s="472" t="s">
        <v>773</v>
      </c>
      <c r="C65" s="653"/>
      <c r="D65" s="468"/>
    </row>
    <row r="66" spans="1:4">
      <c r="A66" s="448">
        <v>30</v>
      </c>
      <c r="B66" s="431" t="s">
        <v>103</v>
      </c>
      <c r="C66" s="654">
        <v>39549839.962626934</v>
      </c>
      <c r="D66" s="468"/>
    </row>
    <row r="67" spans="1:4">
      <c r="A67" s="448">
        <v>31</v>
      </c>
      <c r="B67" s="430" t="s">
        <v>774</v>
      </c>
      <c r="C67" s="654">
        <f>SUM(C54,C55,C56,C57,C58,C61,C62,C66)</f>
        <v>316404491.96262693</v>
      </c>
      <c r="D67" s="468"/>
    </row>
    <row r="68" spans="1:4">
      <c r="A68" s="448">
        <v>32</v>
      </c>
      <c r="B68" s="431" t="s">
        <v>775</v>
      </c>
      <c r="C68" s="654">
        <f>SUM(C52,C67)</f>
        <v>462469823.93905675</v>
      </c>
      <c r="D68" s="468"/>
    </row>
    <row r="69" spans="1:4">
      <c r="C69" s="652">
        <f>C68-C35</f>
        <v>0</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9.5703125" style="2" bestFit="1" customWidth="1"/>
    <col min="18" max="18" width="13.28515625" style="2" bestFit="1" customWidth="1"/>
    <col min="19" max="19" width="31.7109375" style="2" bestFit="1" customWidth="1"/>
    <col min="20" max="16384" width="9.28515625" style="12"/>
  </cols>
  <sheetData>
    <row r="1" spans="1:19">
      <c r="A1" s="2" t="s">
        <v>108</v>
      </c>
      <c r="B1" s="229" t="str">
        <f>Info!C2</f>
        <v>JSC "VTB Bank (Georgia)"</v>
      </c>
    </row>
    <row r="2" spans="1:19">
      <c r="A2" s="2" t="s">
        <v>109</v>
      </c>
      <c r="B2" s="339">
        <f>Info!D2</f>
        <v>45473</v>
      </c>
    </row>
    <row r="4" spans="1:19" ht="39" thickBot="1">
      <c r="A4" s="37" t="s">
        <v>259</v>
      </c>
      <c r="B4" s="200"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5" t="s">
        <v>284</v>
      </c>
      <c r="S5" s="79" t="s">
        <v>285</v>
      </c>
    </row>
    <row r="6" spans="1:19" ht="46.5" customHeight="1">
      <c r="A6" s="102"/>
      <c r="B6" s="844" t="s">
        <v>286</v>
      </c>
      <c r="C6" s="842">
        <v>0</v>
      </c>
      <c r="D6" s="843"/>
      <c r="E6" s="842">
        <v>0.2</v>
      </c>
      <c r="F6" s="843"/>
      <c r="G6" s="842">
        <v>0.35</v>
      </c>
      <c r="H6" s="843"/>
      <c r="I6" s="842">
        <v>0.5</v>
      </c>
      <c r="J6" s="843"/>
      <c r="K6" s="842">
        <v>0.75</v>
      </c>
      <c r="L6" s="843"/>
      <c r="M6" s="842">
        <v>1</v>
      </c>
      <c r="N6" s="843"/>
      <c r="O6" s="842">
        <v>1.5</v>
      </c>
      <c r="P6" s="843"/>
      <c r="Q6" s="842">
        <v>2.5</v>
      </c>
      <c r="R6" s="843"/>
      <c r="S6" s="840" t="s">
        <v>156</v>
      </c>
    </row>
    <row r="7" spans="1:19">
      <c r="A7" s="102"/>
      <c r="B7" s="845"/>
      <c r="C7" s="199" t="s">
        <v>279</v>
      </c>
      <c r="D7" s="199" t="s">
        <v>280</v>
      </c>
      <c r="E7" s="199" t="s">
        <v>279</v>
      </c>
      <c r="F7" s="199" t="s">
        <v>280</v>
      </c>
      <c r="G7" s="199" t="s">
        <v>279</v>
      </c>
      <c r="H7" s="199" t="s">
        <v>280</v>
      </c>
      <c r="I7" s="199" t="s">
        <v>279</v>
      </c>
      <c r="J7" s="199" t="s">
        <v>280</v>
      </c>
      <c r="K7" s="199" t="s">
        <v>279</v>
      </c>
      <c r="L7" s="199" t="s">
        <v>280</v>
      </c>
      <c r="M7" s="199" t="s">
        <v>279</v>
      </c>
      <c r="N7" s="199" t="s">
        <v>280</v>
      </c>
      <c r="O7" s="199" t="s">
        <v>279</v>
      </c>
      <c r="P7" s="199" t="s">
        <v>280</v>
      </c>
      <c r="Q7" s="199" t="s">
        <v>279</v>
      </c>
      <c r="R7" s="199" t="s">
        <v>280</v>
      </c>
      <c r="S7" s="841"/>
    </row>
    <row r="8" spans="1:19" s="105" customFormat="1">
      <c r="A8" s="82">
        <v>1</v>
      </c>
      <c r="B8" s="123" t="s">
        <v>134</v>
      </c>
      <c r="C8" s="711">
        <v>351</v>
      </c>
      <c r="D8" s="711"/>
      <c r="E8" s="711">
        <v>0</v>
      </c>
      <c r="F8" s="712"/>
      <c r="G8" s="711">
        <v>0</v>
      </c>
      <c r="H8" s="711"/>
      <c r="I8" s="711">
        <v>0</v>
      </c>
      <c r="J8" s="711"/>
      <c r="K8" s="711">
        <v>0</v>
      </c>
      <c r="L8" s="711"/>
      <c r="M8" s="711">
        <v>0</v>
      </c>
      <c r="N8" s="711"/>
      <c r="O8" s="711">
        <v>0</v>
      </c>
      <c r="P8" s="711"/>
      <c r="Q8" s="711">
        <v>0</v>
      </c>
      <c r="R8" s="712"/>
      <c r="S8" s="637">
        <f>$C$6*SUM(C8:D8)+$E$6*SUM(E8:F8)+$G$6*SUM(G8:H8)+$I$6*SUM(I8:J8)+$K$6*SUM(K8:L8)+$M$6*SUM(M8:N8)+$O$6*SUM(O8:P8)+$Q$6*SUM(Q8:R8)</f>
        <v>0</v>
      </c>
    </row>
    <row r="9" spans="1:19" s="105" customFormat="1">
      <c r="A9" s="82">
        <v>2</v>
      </c>
      <c r="B9" s="123" t="s">
        <v>135</v>
      </c>
      <c r="C9" s="711">
        <v>0</v>
      </c>
      <c r="D9" s="711"/>
      <c r="E9" s="711">
        <v>0</v>
      </c>
      <c r="F9" s="711"/>
      <c r="G9" s="711">
        <v>0</v>
      </c>
      <c r="H9" s="711"/>
      <c r="I9" s="711">
        <v>0</v>
      </c>
      <c r="J9" s="711"/>
      <c r="K9" s="711">
        <v>0</v>
      </c>
      <c r="L9" s="711"/>
      <c r="M9" s="711">
        <v>0</v>
      </c>
      <c r="N9" s="711"/>
      <c r="O9" s="711">
        <v>0</v>
      </c>
      <c r="P9" s="711"/>
      <c r="Q9" s="711">
        <v>0</v>
      </c>
      <c r="R9" s="712"/>
      <c r="S9" s="637">
        <f t="shared" ref="S9:S21" si="0">$C$6*SUM(C9:D9)+$E$6*SUM(E9:F9)+$G$6*SUM(G9:H9)+$I$6*SUM(I9:J9)+$K$6*SUM(K9:L9)+$M$6*SUM(M9:N9)+$O$6*SUM(O9:P9)+$Q$6*SUM(Q9:R9)</f>
        <v>0</v>
      </c>
    </row>
    <row r="10" spans="1:19" s="105" customFormat="1">
      <c r="A10" s="82">
        <v>3</v>
      </c>
      <c r="B10" s="123" t="s">
        <v>136</v>
      </c>
      <c r="C10" s="711">
        <v>0</v>
      </c>
      <c r="D10" s="711"/>
      <c r="E10" s="711">
        <v>0</v>
      </c>
      <c r="F10" s="711"/>
      <c r="G10" s="711">
        <v>0</v>
      </c>
      <c r="H10" s="711"/>
      <c r="I10" s="711">
        <v>0</v>
      </c>
      <c r="J10" s="711"/>
      <c r="K10" s="711">
        <v>0</v>
      </c>
      <c r="L10" s="711"/>
      <c r="M10" s="711">
        <v>0</v>
      </c>
      <c r="N10" s="711"/>
      <c r="O10" s="711">
        <v>0</v>
      </c>
      <c r="P10" s="711"/>
      <c r="Q10" s="711">
        <v>0</v>
      </c>
      <c r="R10" s="712"/>
      <c r="S10" s="637">
        <f t="shared" si="0"/>
        <v>0</v>
      </c>
    </row>
    <row r="11" spans="1:19" s="105" customFormat="1">
      <c r="A11" s="82">
        <v>4</v>
      </c>
      <c r="B11" s="123" t="s">
        <v>137</v>
      </c>
      <c r="C11" s="711">
        <v>0</v>
      </c>
      <c r="D11" s="711"/>
      <c r="E11" s="711">
        <v>0</v>
      </c>
      <c r="F11" s="711"/>
      <c r="G11" s="711">
        <v>0</v>
      </c>
      <c r="H11" s="711"/>
      <c r="I11" s="711">
        <v>0</v>
      </c>
      <c r="J11" s="711"/>
      <c r="K11" s="711">
        <v>0</v>
      </c>
      <c r="L11" s="711"/>
      <c r="M11" s="711">
        <v>0</v>
      </c>
      <c r="N11" s="711"/>
      <c r="O11" s="711">
        <v>0</v>
      </c>
      <c r="P11" s="711"/>
      <c r="Q11" s="711">
        <v>0</v>
      </c>
      <c r="R11" s="712"/>
      <c r="S11" s="637">
        <f t="shared" si="0"/>
        <v>0</v>
      </c>
    </row>
    <row r="12" spans="1:19" s="105" customFormat="1">
      <c r="A12" s="82">
        <v>5</v>
      </c>
      <c r="B12" s="123" t="s">
        <v>949</v>
      </c>
      <c r="C12" s="711">
        <v>0</v>
      </c>
      <c r="D12" s="711"/>
      <c r="E12" s="711">
        <v>0</v>
      </c>
      <c r="F12" s="711"/>
      <c r="G12" s="711">
        <v>0</v>
      </c>
      <c r="H12" s="711"/>
      <c r="I12" s="711">
        <v>0</v>
      </c>
      <c r="J12" s="711"/>
      <c r="K12" s="711">
        <v>0</v>
      </c>
      <c r="L12" s="711"/>
      <c r="M12" s="711">
        <v>0</v>
      </c>
      <c r="N12" s="711"/>
      <c r="O12" s="711">
        <v>0</v>
      </c>
      <c r="P12" s="711"/>
      <c r="Q12" s="711">
        <v>0</v>
      </c>
      <c r="R12" s="712"/>
      <c r="S12" s="637">
        <f t="shared" si="0"/>
        <v>0</v>
      </c>
    </row>
    <row r="13" spans="1:19" s="105" customFormat="1">
      <c r="A13" s="82">
        <v>6</v>
      </c>
      <c r="B13" s="123" t="s">
        <v>138</v>
      </c>
      <c r="C13" s="711">
        <v>0</v>
      </c>
      <c r="D13" s="711"/>
      <c r="E13" s="711">
        <v>5428546.4119999995</v>
      </c>
      <c r="F13" s="711"/>
      <c r="G13" s="711">
        <v>0</v>
      </c>
      <c r="H13" s="711"/>
      <c r="I13" s="711">
        <v>1329821.7155999977</v>
      </c>
      <c r="J13" s="711"/>
      <c r="K13" s="711">
        <v>0</v>
      </c>
      <c r="L13" s="711"/>
      <c r="M13" s="711">
        <v>122010.87239999999</v>
      </c>
      <c r="N13" s="711">
        <v>0</v>
      </c>
      <c r="O13" s="711">
        <v>0</v>
      </c>
      <c r="P13" s="711"/>
      <c r="Q13" s="711">
        <v>0</v>
      </c>
      <c r="R13" s="712"/>
      <c r="S13" s="637">
        <f t="shared" si="0"/>
        <v>1872631.0125999989</v>
      </c>
    </row>
    <row r="14" spans="1:19" s="105" customFormat="1">
      <c r="A14" s="82">
        <v>7</v>
      </c>
      <c r="B14" s="123" t="s">
        <v>71</v>
      </c>
      <c r="C14" s="711">
        <v>0</v>
      </c>
      <c r="D14" s="711">
        <v>0</v>
      </c>
      <c r="E14" s="711">
        <v>0</v>
      </c>
      <c r="F14" s="711">
        <v>0</v>
      </c>
      <c r="G14" s="711">
        <v>0</v>
      </c>
      <c r="H14" s="711"/>
      <c r="I14" s="711">
        <v>0</v>
      </c>
      <c r="J14" s="711">
        <v>0</v>
      </c>
      <c r="K14" s="711">
        <v>0</v>
      </c>
      <c r="L14" s="711"/>
      <c r="M14" s="711">
        <v>125896262.18228009</v>
      </c>
      <c r="N14" s="711">
        <v>1128133</v>
      </c>
      <c r="O14" s="711">
        <v>0</v>
      </c>
      <c r="P14" s="711">
        <v>0</v>
      </c>
      <c r="Q14" s="711">
        <v>0</v>
      </c>
      <c r="R14" s="712">
        <v>0</v>
      </c>
      <c r="S14" s="637">
        <f t="shared" si="0"/>
        <v>127024395.18228009</v>
      </c>
    </row>
    <row r="15" spans="1:19" s="105" customFormat="1">
      <c r="A15" s="82">
        <v>8</v>
      </c>
      <c r="B15" s="123" t="s">
        <v>72</v>
      </c>
      <c r="C15" s="711">
        <v>0</v>
      </c>
      <c r="D15" s="711"/>
      <c r="E15" s="711">
        <v>0</v>
      </c>
      <c r="F15" s="711"/>
      <c r="G15" s="711">
        <v>0</v>
      </c>
      <c r="H15" s="711"/>
      <c r="I15" s="711">
        <v>0</v>
      </c>
      <c r="J15" s="711"/>
      <c r="K15" s="711">
        <v>0</v>
      </c>
      <c r="L15" s="711">
        <v>0</v>
      </c>
      <c r="M15" s="711">
        <v>0</v>
      </c>
      <c r="N15" s="711">
        <v>0</v>
      </c>
      <c r="O15" s="711">
        <v>0</v>
      </c>
      <c r="P15" s="711">
        <v>0</v>
      </c>
      <c r="Q15" s="711">
        <v>0</v>
      </c>
      <c r="R15" s="712"/>
      <c r="S15" s="637">
        <f t="shared" si="0"/>
        <v>0</v>
      </c>
    </row>
    <row r="16" spans="1:19" s="105" customFormat="1">
      <c r="A16" s="82">
        <v>9</v>
      </c>
      <c r="B16" s="123" t="s">
        <v>950</v>
      </c>
      <c r="C16" s="711">
        <v>0</v>
      </c>
      <c r="D16" s="711"/>
      <c r="E16" s="711">
        <v>0</v>
      </c>
      <c r="F16" s="711"/>
      <c r="G16" s="711">
        <v>6850450.3152547404</v>
      </c>
      <c r="H16" s="711">
        <v>0</v>
      </c>
      <c r="I16" s="711">
        <v>0</v>
      </c>
      <c r="J16" s="711"/>
      <c r="K16" s="711">
        <v>0</v>
      </c>
      <c r="L16" s="711"/>
      <c r="M16" s="711">
        <v>0</v>
      </c>
      <c r="N16" s="711"/>
      <c r="O16" s="711">
        <v>0</v>
      </c>
      <c r="P16" s="711"/>
      <c r="Q16" s="711">
        <v>0</v>
      </c>
      <c r="R16" s="712"/>
      <c r="S16" s="637">
        <f t="shared" si="0"/>
        <v>2397657.6103391591</v>
      </c>
    </row>
    <row r="17" spans="1:19" s="105" customFormat="1">
      <c r="A17" s="82">
        <v>10</v>
      </c>
      <c r="B17" s="123" t="s">
        <v>67</v>
      </c>
      <c r="C17" s="711">
        <v>23251.998429934029</v>
      </c>
      <c r="D17" s="711"/>
      <c r="E17" s="711">
        <v>0</v>
      </c>
      <c r="F17" s="711"/>
      <c r="G17" s="711">
        <v>0</v>
      </c>
      <c r="H17" s="711"/>
      <c r="I17" s="711">
        <v>3405973.1569477776</v>
      </c>
      <c r="J17" s="711"/>
      <c r="K17" s="711">
        <v>0</v>
      </c>
      <c r="L17" s="711"/>
      <c r="M17" s="711">
        <v>25774907.167173721</v>
      </c>
      <c r="N17" s="711"/>
      <c r="O17" s="711">
        <v>33054506.372858852</v>
      </c>
      <c r="P17" s="711"/>
      <c r="Q17" s="711">
        <v>0</v>
      </c>
      <c r="R17" s="712"/>
      <c r="S17" s="637">
        <f t="shared" si="0"/>
        <v>77059653.304935887</v>
      </c>
    </row>
    <row r="18" spans="1:19" s="105" customFormat="1">
      <c r="A18" s="82">
        <v>11</v>
      </c>
      <c r="B18" s="123" t="s">
        <v>68</v>
      </c>
      <c r="C18" s="711">
        <v>0</v>
      </c>
      <c r="D18" s="711"/>
      <c r="E18" s="711">
        <v>0</v>
      </c>
      <c r="F18" s="711"/>
      <c r="G18" s="711">
        <v>0</v>
      </c>
      <c r="H18" s="711"/>
      <c r="I18" s="711">
        <v>0</v>
      </c>
      <c r="J18" s="711"/>
      <c r="K18" s="711">
        <v>0</v>
      </c>
      <c r="L18" s="711"/>
      <c r="M18" s="711">
        <v>0</v>
      </c>
      <c r="N18" s="711"/>
      <c r="O18" s="711">
        <v>0</v>
      </c>
      <c r="P18" s="711"/>
      <c r="Q18" s="711">
        <v>0</v>
      </c>
      <c r="R18" s="712"/>
      <c r="S18" s="637">
        <f t="shared" si="0"/>
        <v>0</v>
      </c>
    </row>
    <row r="19" spans="1:19" s="105" customFormat="1">
      <c r="A19" s="82">
        <v>12</v>
      </c>
      <c r="B19" s="123" t="s">
        <v>69</v>
      </c>
      <c r="C19" s="711">
        <v>0</v>
      </c>
      <c r="D19" s="711"/>
      <c r="E19" s="711">
        <v>0</v>
      </c>
      <c r="F19" s="711"/>
      <c r="G19" s="711">
        <v>0</v>
      </c>
      <c r="H19" s="711"/>
      <c r="I19" s="711">
        <v>0</v>
      </c>
      <c r="J19" s="711"/>
      <c r="K19" s="711">
        <v>0</v>
      </c>
      <c r="L19" s="711"/>
      <c r="M19" s="711">
        <v>0</v>
      </c>
      <c r="N19" s="711"/>
      <c r="O19" s="711">
        <v>0</v>
      </c>
      <c r="P19" s="711"/>
      <c r="Q19" s="711">
        <v>0</v>
      </c>
      <c r="R19" s="712"/>
      <c r="S19" s="637">
        <f t="shared" si="0"/>
        <v>0</v>
      </c>
    </row>
    <row r="20" spans="1:19" s="105" customFormat="1">
      <c r="A20" s="82">
        <v>13</v>
      </c>
      <c r="B20" s="123" t="s">
        <v>70</v>
      </c>
      <c r="C20" s="711">
        <v>0</v>
      </c>
      <c r="D20" s="711"/>
      <c r="E20" s="711">
        <v>0</v>
      </c>
      <c r="F20" s="711"/>
      <c r="G20" s="711">
        <v>0</v>
      </c>
      <c r="H20" s="711"/>
      <c r="I20" s="711">
        <v>0</v>
      </c>
      <c r="J20" s="711"/>
      <c r="K20" s="711">
        <v>0</v>
      </c>
      <c r="L20" s="711"/>
      <c r="M20" s="711">
        <v>0</v>
      </c>
      <c r="N20" s="711"/>
      <c r="O20" s="711">
        <v>0</v>
      </c>
      <c r="P20" s="711"/>
      <c r="Q20" s="711">
        <v>0</v>
      </c>
      <c r="R20" s="712"/>
      <c r="S20" s="637">
        <f t="shared" si="0"/>
        <v>0</v>
      </c>
    </row>
    <row r="21" spans="1:19" s="105" customFormat="1">
      <c r="A21" s="82">
        <v>14</v>
      </c>
      <c r="B21" s="123" t="s">
        <v>154</v>
      </c>
      <c r="C21" s="711">
        <v>156119934.15830001</v>
      </c>
      <c r="D21" s="711"/>
      <c r="E21" s="711">
        <v>0</v>
      </c>
      <c r="F21" s="711"/>
      <c r="G21" s="711">
        <v>0</v>
      </c>
      <c r="H21" s="711"/>
      <c r="I21" s="711">
        <v>0</v>
      </c>
      <c r="J21" s="711"/>
      <c r="K21" s="711">
        <v>0</v>
      </c>
      <c r="L21" s="711"/>
      <c r="M21" s="711">
        <v>103342881.50999999</v>
      </c>
      <c r="N21" s="711"/>
      <c r="O21" s="711">
        <v>0</v>
      </c>
      <c r="P21" s="711"/>
      <c r="Q21" s="711">
        <v>0</v>
      </c>
      <c r="R21" s="712"/>
      <c r="S21" s="637">
        <f t="shared" si="0"/>
        <v>103342881.50999999</v>
      </c>
    </row>
    <row r="22" spans="1:19" ht="13.5" thickBot="1">
      <c r="A22" s="64"/>
      <c r="B22" s="107" t="s">
        <v>66</v>
      </c>
      <c r="C22" s="636">
        <f>SUM(C8:C21)</f>
        <v>156143537.15672994</v>
      </c>
      <c r="D22" s="636">
        <f t="shared" ref="D22:S22" si="1">SUM(D8:D21)</f>
        <v>0</v>
      </c>
      <c r="E22" s="636">
        <f t="shared" si="1"/>
        <v>5428546.4119999995</v>
      </c>
      <c r="F22" s="636">
        <f t="shared" si="1"/>
        <v>0</v>
      </c>
      <c r="G22" s="636">
        <f t="shared" si="1"/>
        <v>6850450.3152547404</v>
      </c>
      <c r="H22" s="636">
        <f t="shared" si="1"/>
        <v>0</v>
      </c>
      <c r="I22" s="636">
        <f t="shared" si="1"/>
        <v>4735794.8725477755</v>
      </c>
      <c r="J22" s="636">
        <f t="shared" si="1"/>
        <v>0</v>
      </c>
      <c r="K22" s="636">
        <f t="shared" si="1"/>
        <v>0</v>
      </c>
      <c r="L22" s="636">
        <f t="shared" si="1"/>
        <v>0</v>
      </c>
      <c r="M22" s="636">
        <f t="shared" si="1"/>
        <v>255136061.73185381</v>
      </c>
      <c r="N22" s="636">
        <f t="shared" si="1"/>
        <v>1128133</v>
      </c>
      <c r="O22" s="636">
        <f t="shared" si="1"/>
        <v>33054506.372858852</v>
      </c>
      <c r="P22" s="636">
        <f t="shared" si="1"/>
        <v>0</v>
      </c>
      <c r="Q22" s="636">
        <f t="shared" si="1"/>
        <v>0</v>
      </c>
      <c r="R22" s="636">
        <f t="shared" si="1"/>
        <v>0</v>
      </c>
      <c r="S22" s="635">
        <f t="shared" si="1"/>
        <v>311697218.62015516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P7" activePane="bottomRight" state="frozen"/>
      <selection activeCell="B2" sqref="B2"/>
      <selection pane="topRight" activeCell="B2" sqref="B2"/>
      <selection pane="bottomLeft" activeCell="B2" sqref="B2"/>
      <selection pane="bottomRight" activeCell="C7" sqref="C7:U19"/>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9" t="str">
        <f>Info!C2</f>
        <v>JSC "VTB Bank (Georgia)"</v>
      </c>
    </row>
    <row r="2" spans="1:22">
      <c r="A2" s="2" t="s">
        <v>109</v>
      </c>
      <c r="B2" s="339">
        <f>Info!D2</f>
        <v>45473</v>
      </c>
    </row>
    <row r="4" spans="1:22" ht="27.75" thickBot="1">
      <c r="A4" s="2" t="s">
        <v>260</v>
      </c>
      <c r="B4" s="201" t="s">
        <v>295</v>
      </c>
      <c r="V4" s="149" t="s">
        <v>87</v>
      </c>
    </row>
    <row r="5" spans="1:22">
      <c r="A5" s="62"/>
      <c r="B5" s="63"/>
      <c r="C5" s="846" t="s">
        <v>116</v>
      </c>
      <c r="D5" s="847"/>
      <c r="E5" s="847"/>
      <c r="F5" s="847"/>
      <c r="G5" s="847"/>
      <c r="H5" s="847"/>
      <c r="I5" s="847"/>
      <c r="J5" s="847"/>
      <c r="K5" s="847"/>
      <c r="L5" s="848"/>
      <c r="M5" s="846" t="s">
        <v>117</v>
      </c>
      <c r="N5" s="847"/>
      <c r="O5" s="847"/>
      <c r="P5" s="847"/>
      <c r="Q5" s="847"/>
      <c r="R5" s="847"/>
      <c r="S5" s="848"/>
      <c r="T5" s="851" t="s">
        <v>293</v>
      </c>
      <c r="U5" s="851" t="s">
        <v>292</v>
      </c>
      <c r="V5" s="849" t="s">
        <v>118</v>
      </c>
    </row>
    <row r="6" spans="1:22" s="37" customFormat="1" ht="140.25">
      <c r="A6" s="80"/>
      <c r="B6" s="125"/>
      <c r="C6" s="60" t="s">
        <v>119</v>
      </c>
      <c r="D6" s="59" t="s">
        <v>120</v>
      </c>
      <c r="E6" s="56" t="s">
        <v>121</v>
      </c>
      <c r="F6" s="202"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52"/>
      <c r="U6" s="852"/>
      <c r="V6" s="850"/>
    </row>
    <row r="7" spans="1:22" s="105" customFormat="1">
      <c r="A7" s="106">
        <v>1</v>
      </c>
      <c r="B7" s="123" t="s">
        <v>134</v>
      </c>
      <c r="C7" s="713"/>
      <c r="D7" s="713">
        <v>0</v>
      </c>
      <c r="E7" s="713"/>
      <c r="F7" s="713"/>
      <c r="G7" s="713"/>
      <c r="H7" s="713"/>
      <c r="I7" s="713"/>
      <c r="J7" s="713">
        <v>0</v>
      </c>
      <c r="K7" s="713"/>
      <c r="L7" s="714"/>
      <c r="M7" s="715"/>
      <c r="N7" s="713"/>
      <c r="O7" s="713"/>
      <c r="P7" s="713"/>
      <c r="Q7" s="713"/>
      <c r="R7" s="713"/>
      <c r="S7" s="714"/>
      <c r="T7" s="716">
        <v>0</v>
      </c>
      <c r="U7" s="717"/>
      <c r="V7" s="183">
        <f>SUM(C7:S7)</f>
        <v>0</v>
      </c>
    </row>
    <row r="8" spans="1:22" s="105" customFormat="1">
      <c r="A8" s="106">
        <v>2</v>
      </c>
      <c r="B8" s="123" t="s">
        <v>135</v>
      </c>
      <c r="C8" s="713"/>
      <c r="D8" s="713">
        <v>0</v>
      </c>
      <c r="E8" s="713"/>
      <c r="F8" s="713"/>
      <c r="G8" s="713"/>
      <c r="H8" s="713"/>
      <c r="I8" s="713"/>
      <c r="J8" s="713">
        <v>0</v>
      </c>
      <c r="K8" s="713"/>
      <c r="L8" s="714"/>
      <c r="M8" s="715"/>
      <c r="N8" s="713"/>
      <c r="O8" s="713"/>
      <c r="P8" s="713"/>
      <c r="Q8" s="713"/>
      <c r="R8" s="713"/>
      <c r="S8" s="714"/>
      <c r="T8" s="717">
        <v>0</v>
      </c>
      <c r="U8" s="717"/>
      <c r="V8" s="183">
        <f t="shared" ref="V8:V20" si="0">SUM(C8:S8)</f>
        <v>0</v>
      </c>
    </row>
    <row r="9" spans="1:22" s="105" customFormat="1">
      <c r="A9" s="106">
        <v>3</v>
      </c>
      <c r="B9" s="123" t="s">
        <v>136</v>
      </c>
      <c r="C9" s="713"/>
      <c r="D9" s="713">
        <v>0</v>
      </c>
      <c r="E9" s="713"/>
      <c r="F9" s="713"/>
      <c r="G9" s="713"/>
      <c r="H9" s="713"/>
      <c r="I9" s="713"/>
      <c r="J9" s="713">
        <v>0</v>
      </c>
      <c r="K9" s="713"/>
      <c r="L9" s="714"/>
      <c r="M9" s="715"/>
      <c r="N9" s="713"/>
      <c r="O9" s="713"/>
      <c r="P9" s="713"/>
      <c r="Q9" s="713"/>
      <c r="R9" s="713"/>
      <c r="S9" s="714"/>
      <c r="T9" s="717">
        <v>0</v>
      </c>
      <c r="U9" s="717"/>
      <c r="V9" s="183">
        <f>SUM(C9:S9)</f>
        <v>0</v>
      </c>
    </row>
    <row r="10" spans="1:22" s="105" customFormat="1">
      <c r="A10" s="106">
        <v>4</v>
      </c>
      <c r="B10" s="123" t="s">
        <v>137</v>
      </c>
      <c r="C10" s="713"/>
      <c r="D10" s="713">
        <v>0</v>
      </c>
      <c r="E10" s="713"/>
      <c r="F10" s="713"/>
      <c r="G10" s="713"/>
      <c r="H10" s="713"/>
      <c r="I10" s="713"/>
      <c r="J10" s="713">
        <v>0</v>
      </c>
      <c r="K10" s="713"/>
      <c r="L10" s="714"/>
      <c r="M10" s="715"/>
      <c r="N10" s="713"/>
      <c r="O10" s="713"/>
      <c r="P10" s="713"/>
      <c r="Q10" s="713"/>
      <c r="R10" s="713"/>
      <c r="S10" s="714"/>
      <c r="T10" s="717">
        <v>0</v>
      </c>
      <c r="U10" s="717"/>
      <c r="V10" s="183">
        <f t="shared" si="0"/>
        <v>0</v>
      </c>
    </row>
    <row r="11" spans="1:22" s="105" customFormat="1">
      <c r="A11" s="106">
        <v>5</v>
      </c>
      <c r="B11" s="123" t="s">
        <v>949</v>
      </c>
      <c r="C11" s="713"/>
      <c r="D11" s="713">
        <v>0</v>
      </c>
      <c r="E11" s="713"/>
      <c r="F11" s="713"/>
      <c r="G11" s="713"/>
      <c r="H11" s="713"/>
      <c r="I11" s="713"/>
      <c r="J11" s="713">
        <v>0</v>
      </c>
      <c r="K11" s="713"/>
      <c r="L11" s="714"/>
      <c r="M11" s="715"/>
      <c r="N11" s="713"/>
      <c r="O11" s="713"/>
      <c r="P11" s="713"/>
      <c r="Q11" s="713"/>
      <c r="R11" s="713"/>
      <c r="S11" s="714"/>
      <c r="T11" s="717">
        <v>0</v>
      </c>
      <c r="U11" s="717"/>
      <c r="V11" s="183">
        <f t="shared" si="0"/>
        <v>0</v>
      </c>
    </row>
    <row r="12" spans="1:22" s="105" customFormat="1">
      <c r="A12" s="106">
        <v>6</v>
      </c>
      <c r="B12" s="123" t="s">
        <v>138</v>
      </c>
      <c r="C12" s="713"/>
      <c r="D12" s="713">
        <v>0</v>
      </c>
      <c r="E12" s="713"/>
      <c r="F12" s="713"/>
      <c r="G12" s="713"/>
      <c r="H12" s="713"/>
      <c r="I12" s="713"/>
      <c r="J12" s="713">
        <v>0</v>
      </c>
      <c r="K12" s="713"/>
      <c r="L12" s="714"/>
      <c r="M12" s="715"/>
      <c r="N12" s="713"/>
      <c r="O12" s="713"/>
      <c r="P12" s="713"/>
      <c r="Q12" s="713"/>
      <c r="R12" s="713"/>
      <c r="S12" s="714"/>
      <c r="T12" s="717">
        <v>0</v>
      </c>
      <c r="U12" s="717"/>
      <c r="V12" s="183">
        <f t="shared" si="0"/>
        <v>0</v>
      </c>
    </row>
    <row r="13" spans="1:22" s="105" customFormat="1">
      <c r="A13" s="106">
        <v>7</v>
      </c>
      <c r="B13" s="123" t="s">
        <v>71</v>
      </c>
      <c r="C13" s="713"/>
      <c r="D13" s="713">
        <v>1392433.2558016002</v>
      </c>
      <c r="E13" s="713"/>
      <c r="F13" s="713"/>
      <c r="G13" s="713"/>
      <c r="H13" s="713"/>
      <c r="I13" s="713"/>
      <c r="J13" s="713">
        <v>0</v>
      </c>
      <c r="K13" s="713"/>
      <c r="L13" s="714"/>
      <c r="M13" s="715"/>
      <c r="N13" s="713"/>
      <c r="O13" s="713"/>
      <c r="P13" s="713"/>
      <c r="Q13" s="713"/>
      <c r="R13" s="713"/>
      <c r="S13" s="714"/>
      <c r="T13" s="717">
        <v>352117.25580160017</v>
      </c>
      <c r="U13" s="717">
        <v>1040316</v>
      </c>
      <c r="V13" s="183">
        <f t="shared" si="0"/>
        <v>1392433.2558016002</v>
      </c>
    </row>
    <row r="14" spans="1:22" s="105" customFormat="1">
      <c r="A14" s="106">
        <v>8</v>
      </c>
      <c r="B14" s="123" t="s">
        <v>72</v>
      </c>
      <c r="C14" s="713"/>
      <c r="D14" s="713">
        <v>0</v>
      </c>
      <c r="E14" s="713"/>
      <c r="F14" s="713"/>
      <c r="G14" s="713"/>
      <c r="H14" s="713"/>
      <c r="I14" s="713"/>
      <c r="J14" s="713">
        <v>0</v>
      </c>
      <c r="K14" s="713"/>
      <c r="L14" s="714"/>
      <c r="M14" s="715"/>
      <c r="N14" s="713"/>
      <c r="O14" s="713"/>
      <c r="P14" s="713"/>
      <c r="Q14" s="713"/>
      <c r="R14" s="713"/>
      <c r="S14" s="714"/>
      <c r="T14" s="717">
        <v>0</v>
      </c>
      <c r="U14" s="717">
        <v>0</v>
      </c>
      <c r="V14" s="183">
        <f t="shared" si="0"/>
        <v>0</v>
      </c>
    </row>
    <row r="15" spans="1:22" s="105" customFormat="1">
      <c r="A15" s="106">
        <v>9</v>
      </c>
      <c r="B15" s="123" t="s">
        <v>950</v>
      </c>
      <c r="C15" s="713"/>
      <c r="D15" s="713">
        <v>0</v>
      </c>
      <c r="E15" s="713"/>
      <c r="F15" s="713"/>
      <c r="G15" s="713"/>
      <c r="H15" s="713"/>
      <c r="I15" s="713"/>
      <c r="J15" s="713">
        <v>0</v>
      </c>
      <c r="K15" s="713"/>
      <c r="L15" s="714"/>
      <c r="M15" s="715"/>
      <c r="N15" s="713"/>
      <c r="O15" s="713"/>
      <c r="P15" s="713"/>
      <c r="Q15" s="713"/>
      <c r="R15" s="713"/>
      <c r="S15" s="714"/>
      <c r="T15" s="717">
        <v>0</v>
      </c>
      <c r="U15" s="717"/>
      <c r="V15" s="183">
        <f t="shared" si="0"/>
        <v>0</v>
      </c>
    </row>
    <row r="16" spans="1:22" s="105" customFormat="1">
      <c r="A16" s="106">
        <v>10</v>
      </c>
      <c r="B16" s="123" t="s">
        <v>67</v>
      </c>
      <c r="C16" s="713"/>
      <c r="D16" s="713">
        <v>190723.78396392002</v>
      </c>
      <c r="E16" s="713"/>
      <c r="F16" s="713"/>
      <c r="G16" s="713"/>
      <c r="H16" s="713"/>
      <c r="I16" s="713"/>
      <c r="J16" s="713">
        <v>0</v>
      </c>
      <c r="K16" s="713"/>
      <c r="L16" s="714"/>
      <c r="M16" s="715"/>
      <c r="N16" s="713"/>
      <c r="O16" s="713"/>
      <c r="P16" s="713"/>
      <c r="Q16" s="713"/>
      <c r="R16" s="713"/>
      <c r="S16" s="714"/>
      <c r="T16" s="717">
        <v>190723.78396392002</v>
      </c>
      <c r="U16" s="717"/>
      <c r="V16" s="183">
        <f t="shared" si="0"/>
        <v>190723.78396392002</v>
      </c>
    </row>
    <row r="17" spans="1:22" s="105" customFormat="1">
      <c r="A17" s="106">
        <v>11</v>
      </c>
      <c r="B17" s="123" t="s">
        <v>68</v>
      </c>
      <c r="C17" s="713"/>
      <c r="D17" s="713">
        <v>0</v>
      </c>
      <c r="E17" s="713"/>
      <c r="F17" s="713"/>
      <c r="G17" s="713"/>
      <c r="H17" s="713"/>
      <c r="I17" s="713"/>
      <c r="J17" s="713">
        <v>0</v>
      </c>
      <c r="K17" s="713"/>
      <c r="L17" s="714"/>
      <c r="M17" s="715"/>
      <c r="N17" s="713"/>
      <c r="O17" s="713"/>
      <c r="P17" s="713"/>
      <c r="Q17" s="713"/>
      <c r="R17" s="713"/>
      <c r="S17" s="714"/>
      <c r="T17" s="717">
        <v>0</v>
      </c>
      <c r="U17" s="717"/>
      <c r="V17" s="183">
        <f t="shared" si="0"/>
        <v>0</v>
      </c>
    </row>
    <row r="18" spans="1:22" s="105" customFormat="1">
      <c r="A18" s="106">
        <v>12</v>
      </c>
      <c r="B18" s="123" t="s">
        <v>69</v>
      </c>
      <c r="C18" s="713"/>
      <c r="D18" s="713">
        <v>0</v>
      </c>
      <c r="E18" s="713"/>
      <c r="F18" s="713"/>
      <c r="G18" s="713"/>
      <c r="H18" s="713"/>
      <c r="I18" s="713"/>
      <c r="J18" s="713">
        <v>0</v>
      </c>
      <c r="K18" s="713"/>
      <c r="L18" s="714"/>
      <c r="M18" s="715"/>
      <c r="N18" s="713"/>
      <c r="O18" s="713"/>
      <c r="P18" s="713"/>
      <c r="Q18" s="713"/>
      <c r="R18" s="713"/>
      <c r="S18" s="714"/>
      <c r="T18" s="717">
        <v>0</v>
      </c>
      <c r="U18" s="717"/>
      <c r="V18" s="183">
        <f t="shared" si="0"/>
        <v>0</v>
      </c>
    </row>
    <row r="19" spans="1:22" s="105" customFormat="1">
      <c r="A19" s="106">
        <v>13</v>
      </c>
      <c r="B19" s="123" t="s">
        <v>70</v>
      </c>
      <c r="C19" s="713"/>
      <c r="D19" s="713">
        <v>0</v>
      </c>
      <c r="E19" s="713"/>
      <c r="F19" s="713"/>
      <c r="G19" s="713"/>
      <c r="H19" s="713"/>
      <c r="I19" s="713"/>
      <c r="J19" s="713">
        <v>0</v>
      </c>
      <c r="K19" s="713"/>
      <c r="L19" s="714"/>
      <c r="M19" s="715"/>
      <c r="N19" s="713"/>
      <c r="O19" s="713"/>
      <c r="P19" s="713"/>
      <c r="Q19" s="713"/>
      <c r="R19" s="713"/>
      <c r="S19" s="714"/>
      <c r="T19" s="717">
        <v>0</v>
      </c>
      <c r="U19" s="717"/>
      <c r="V19" s="183">
        <f t="shared" si="0"/>
        <v>0</v>
      </c>
    </row>
    <row r="20" spans="1:22" s="105" customFormat="1">
      <c r="A20" s="106">
        <v>14</v>
      </c>
      <c r="B20" s="123" t="s">
        <v>154</v>
      </c>
      <c r="C20" s="713"/>
      <c r="D20" s="713">
        <v>0</v>
      </c>
      <c r="E20" s="713"/>
      <c r="F20" s="713"/>
      <c r="G20" s="713"/>
      <c r="H20" s="713"/>
      <c r="I20" s="713"/>
      <c r="J20" s="713">
        <v>0</v>
      </c>
      <c r="K20" s="713"/>
      <c r="L20" s="714"/>
      <c r="M20" s="715"/>
      <c r="N20" s="713"/>
      <c r="O20" s="713"/>
      <c r="P20" s="713"/>
      <c r="Q20" s="713"/>
      <c r="R20" s="713"/>
      <c r="S20" s="714"/>
      <c r="T20" s="717">
        <v>0</v>
      </c>
      <c r="U20" s="717"/>
      <c r="V20" s="183">
        <f t="shared" si="0"/>
        <v>0</v>
      </c>
    </row>
    <row r="21" spans="1:22" ht="13.5" thickBot="1">
      <c r="A21" s="64"/>
      <c r="B21" s="65" t="s">
        <v>66</v>
      </c>
      <c r="C21" s="184">
        <f>SUM(C7:C20)</f>
        <v>0</v>
      </c>
      <c r="D21" s="182">
        <f t="shared" ref="D21:V21" si="1">SUM(D7:D20)</f>
        <v>1583157.0397655203</v>
      </c>
      <c r="E21" s="182">
        <f t="shared" si="1"/>
        <v>0</v>
      </c>
      <c r="F21" s="182">
        <f t="shared" si="1"/>
        <v>0</v>
      </c>
      <c r="G21" s="182">
        <f t="shared" si="1"/>
        <v>0</v>
      </c>
      <c r="H21" s="182">
        <f t="shared" si="1"/>
        <v>0</v>
      </c>
      <c r="I21" s="182">
        <f t="shared" si="1"/>
        <v>0</v>
      </c>
      <c r="J21" s="182">
        <f t="shared" si="1"/>
        <v>0</v>
      </c>
      <c r="K21" s="182">
        <f t="shared" si="1"/>
        <v>0</v>
      </c>
      <c r="L21" s="185">
        <f t="shared" si="1"/>
        <v>0</v>
      </c>
      <c r="M21" s="184">
        <f t="shared" si="1"/>
        <v>0</v>
      </c>
      <c r="N21" s="182">
        <f t="shared" si="1"/>
        <v>0</v>
      </c>
      <c r="O21" s="182">
        <f t="shared" si="1"/>
        <v>0</v>
      </c>
      <c r="P21" s="182">
        <f t="shared" si="1"/>
        <v>0</v>
      </c>
      <c r="Q21" s="182">
        <f t="shared" si="1"/>
        <v>0</v>
      </c>
      <c r="R21" s="182">
        <f t="shared" si="1"/>
        <v>0</v>
      </c>
      <c r="S21" s="185">
        <f t="shared" si="1"/>
        <v>0</v>
      </c>
      <c r="T21" s="185">
        <f>SUM(T7:T20)</f>
        <v>542841.03976552025</v>
      </c>
      <c r="U21" s="185">
        <f t="shared" si="1"/>
        <v>1040316</v>
      </c>
      <c r="V21" s="186">
        <f t="shared" si="1"/>
        <v>1583157.0397655203</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9" t="str">
        <f>Info!C2</f>
        <v>JSC "VTB Bank (Georgia)"</v>
      </c>
    </row>
    <row r="2" spans="1:9">
      <c r="A2" s="2" t="s">
        <v>109</v>
      </c>
      <c r="B2" s="339">
        <f>Info!D2</f>
        <v>45473</v>
      </c>
    </row>
    <row r="4" spans="1:9" ht="13.5" thickBot="1">
      <c r="A4" s="2" t="s">
        <v>261</v>
      </c>
      <c r="B4" s="198" t="s">
        <v>296</v>
      </c>
    </row>
    <row r="5" spans="1:9">
      <c r="A5" s="62"/>
      <c r="B5" s="103"/>
      <c r="C5" s="108" t="s">
        <v>0</v>
      </c>
      <c r="D5" s="108" t="s">
        <v>1</v>
      </c>
      <c r="E5" s="108" t="s">
        <v>2</v>
      </c>
      <c r="F5" s="108" t="s">
        <v>3</v>
      </c>
      <c r="G5" s="196" t="s">
        <v>4</v>
      </c>
      <c r="H5" s="109" t="s">
        <v>5</v>
      </c>
      <c r="I5" s="24"/>
    </row>
    <row r="6" spans="1:9" ht="15" customHeight="1">
      <c r="A6" s="102"/>
      <c r="B6" s="22"/>
      <c r="C6" s="853" t="s">
        <v>288</v>
      </c>
      <c r="D6" s="857" t="s">
        <v>309</v>
      </c>
      <c r="E6" s="858"/>
      <c r="F6" s="853" t="s">
        <v>315</v>
      </c>
      <c r="G6" s="853" t="s">
        <v>316</v>
      </c>
      <c r="H6" s="855" t="s">
        <v>290</v>
      </c>
      <c r="I6" s="24"/>
    </row>
    <row r="7" spans="1:9" ht="76.5">
      <c r="A7" s="102"/>
      <c r="B7" s="22"/>
      <c r="C7" s="854"/>
      <c r="D7" s="197" t="s">
        <v>291</v>
      </c>
      <c r="E7" s="197" t="s">
        <v>289</v>
      </c>
      <c r="F7" s="854"/>
      <c r="G7" s="854"/>
      <c r="H7" s="856"/>
      <c r="I7" s="24"/>
    </row>
    <row r="8" spans="1:9">
      <c r="A8" s="53">
        <v>1</v>
      </c>
      <c r="B8" s="123" t="s">
        <v>134</v>
      </c>
      <c r="C8" s="718">
        <v>351</v>
      </c>
      <c r="D8" s="719">
        <v>0</v>
      </c>
      <c r="E8" s="718">
        <v>0</v>
      </c>
      <c r="F8" s="718">
        <v>0</v>
      </c>
      <c r="G8" s="720">
        <v>0</v>
      </c>
      <c r="H8" s="203">
        <f>IFERROR(G8/(C8+E8),)</f>
        <v>0</v>
      </c>
    </row>
    <row r="9" spans="1:9" ht="15" customHeight="1">
      <c r="A9" s="53">
        <v>2</v>
      </c>
      <c r="B9" s="123" t="s">
        <v>135</v>
      </c>
      <c r="C9" s="718">
        <v>0</v>
      </c>
      <c r="D9" s="719">
        <v>0</v>
      </c>
      <c r="E9" s="718">
        <v>0</v>
      </c>
      <c r="F9" s="718">
        <v>0</v>
      </c>
      <c r="G9" s="720">
        <v>0</v>
      </c>
      <c r="H9" s="203">
        <f t="shared" ref="H9:H21" si="0">IFERROR(G9/(C9+E9),)</f>
        <v>0</v>
      </c>
    </row>
    <row r="10" spans="1:9">
      <c r="A10" s="53">
        <v>3</v>
      </c>
      <c r="B10" s="123" t="s">
        <v>136</v>
      </c>
      <c r="C10" s="718">
        <v>0</v>
      </c>
      <c r="D10" s="719">
        <v>0</v>
      </c>
      <c r="E10" s="718">
        <v>0</v>
      </c>
      <c r="F10" s="718">
        <v>0</v>
      </c>
      <c r="G10" s="720">
        <v>0</v>
      </c>
      <c r="H10" s="203">
        <f t="shared" si="0"/>
        <v>0</v>
      </c>
    </row>
    <row r="11" spans="1:9">
      <c r="A11" s="53">
        <v>4</v>
      </c>
      <c r="B11" s="123" t="s">
        <v>137</v>
      </c>
      <c r="C11" s="718">
        <v>0</v>
      </c>
      <c r="D11" s="719">
        <v>0</v>
      </c>
      <c r="E11" s="718">
        <v>0</v>
      </c>
      <c r="F11" s="718">
        <v>0</v>
      </c>
      <c r="G11" s="720">
        <v>0</v>
      </c>
      <c r="H11" s="203">
        <f t="shared" si="0"/>
        <v>0</v>
      </c>
    </row>
    <row r="12" spans="1:9">
      <c r="A12" s="53">
        <v>5</v>
      </c>
      <c r="B12" s="123" t="s">
        <v>949</v>
      </c>
      <c r="C12" s="718">
        <v>0</v>
      </c>
      <c r="D12" s="719">
        <v>0</v>
      </c>
      <c r="E12" s="718">
        <v>0</v>
      </c>
      <c r="F12" s="718">
        <v>0</v>
      </c>
      <c r="G12" s="720">
        <v>0</v>
      </c>
      <c r="H12" s="203">
        <f t="shared" si="0"/>
        <v>0</v>
      </c>
    </row>
    <row r="13" spans="1:9">
      <c r="A13" s="53">
        <v>6</v>
      </c>
      <c r="B13" s="123" t="s">
        <v>138</v>
      </c>
      <c r="C13" s="718">
        <v>6880378.9999999972</v>
      </c>
      <c r="D13" s="719">
        <v>0</v>
      </c>
      <c r="E13" s="718">
        <v>0</v>
      </c>
      <c r="F13" s="718">
        <v>1872631.0125999989</v>
      </c>
      <c r="G13" s="720">
        <v>1872631.0125999989</v>
      </c>
      <c r="H13" s="203">
        <f t="shared" si="0"/>
        <v>0.27216974713166231</v>
      </c>
    </row>
    <row r="14" spans="1:9">
      <c r="A14" s="53">
        <v>7</v>
      </c>
      <c r="B14" s="123" t="s">
        <v>71</v>
      </c>
      <c r="C14" s="718">
        <v>125896262.18228009</v>
      </c>
      <c r="D14" s="719">
        <v>2236266.6291629998</v>
      </c>
      <c r="E14" s="718">
        <v>1128133.3145814999</v>
      </c>
      <c r="F14" s="719">
        <v>127024395.49686159</v>
      </c>
      <c r="G14" s="721">
        <v>125631961.98147599</v>
      </c>
      <c r="H14" s="203">
        <f t="shared" si="0"/>
        <v>0.98903806225615931</v>
      </c>
    </row>
    <row r="15" spans="1:9">
      <c r="A15" s="53">
        <v>8</v>
      </c>
      <c r="B15" s="123" t="s">
        <v>72</v>
      </c>
      <c r="C15" s="718">
        <v>0</v>
      </c>
      <c r="D15" s="719">
        <v>0</v>
      </c>
      <c r="E15" s="718">
        <v>0</v>
      </c>
      <c r="F15" s="719">
        <v>0</v>
      </c>
      <c r="G15" s="721">
        <v>0</v>
      </c>
      <c r="H15" s="203">
        <f t="shared" si="0"/>
        <v>0</v>
      </c>
    </row>
    <row r="16" spans="1:9">
      <c r="A16" s="53">
        <v>9</v>
      </c>
      <c r="B16" s="123" t="s">
        <v>950</v>
      </c>
      <c r="C16" s="718">
        <v>6850450.3152547404</v>
      </c>
      <c r="D16" s="719">
        <v>0</v>
      </c>
      <c r="E16" s="718">
        <v>0</v>
      </c>
      <c r="F16" s="719">
        <v>2397657.6103391591</v>
      </c>
      <c r="G16" s="721">
        <v>2397657.6103391591</v>
      </c>
      <c r="H16" s="203">
        <f t="shared" si="0"/>
        <v>0.35</v>
      </c>
    </row>
    <row r="17" spans="1:8">
      <c r="A17" s="53">
        <v>10</v>
      </c>
      <c r="B17" s="123" t="s">
        <v>67</v>
      </c>
      <c r="C17" s="718">
        <v>62258638.695410281</v>
      </c>
      <c r="D17" s="719">
        <v>0</v>
      </c>
      <c r="E17" s="718">
        <v>0</v>
      </c>
      <c r="F17" s="719">
        <v>77059653.304935887</v>
      </c>
      <c r="G17" s="721">
        <v>76868929.520971969</v>
      </c>
      <c r="H17" s="203">
        <f t="shared" si="0"/>
        <v>1.2346709008052688</v>
      </c>
    </row>
    <row r="18" spans="1:8">
      <c r="A18" s="53">
        <v>11</v>
      </c>
      <c r="B18" s="123" t="s">
        <v>68</v>
      </c>
      <c r="C18" s="718">
        <v>0</v>
      </c>
      <c r="D18" s="719">
        <v>0</v>
      </c>
      <c r="E18" s="718">
        <v>0</v>
      </c>
      <c r="F18" s="719">
        <v>0</v>
      </c>
      <c r="G18" s="721">
        <v>0</v>
      </c>
      <c r="H18" s="203">
        <f t="shared" si="0"/>
        <v>0</v>
      </c>
    </row>
    <row r="19" spans="1:8">
      <c r="A19" s="53">
        <v>12</v>
      </c>
      <c r="B19" s="123" t="s">
        <v>69</v>
      </c>
      <c r="C19" s="718">
        <v>0</v>
      </c>
      <c r="D19" s="719">
        <v>0</v>
      </c>
      <c r="E19" s="718">
        <v>0</v>
      </c>
      <c r="F19" s="719">
        <v>0</v>
      </c>
      <c r="G19" s="721">
        <v>0</v>
      </c>
      <c r="H19" s="203">
        <f t="shared" si="0"/>
        <v>0</v>
      </c>
    </row>
    <row r="20" spans="1:8">
      <c r="A20" s="53">
        <v>13</v>
      </c>
      <c r="B20" s="123" t="s">
        <v>70</v>
      </c>
      <c r="C20" s="718">
        <v>0</v>
      </c>
      <c r="D20" s="719">
        <v>0</v>
      </c>
      <c r="E20" s="718">
        <v>0</v>
      </c>
      <c r="F20" s="719">
        <v>0</v>
      </c>
      <c r="G20" s="721">
        <v>0</v>
      </c>
      <c r="H20" s="203">
        <f t="shared" si="0"/>
        <v>0</v>
      </c>
    </row>
    <row r="21" spans="1:8">
      <c r="A21" s="53">
        <v>14</v>
      </c>
      <c r="B21" s="123" t="s">
        <v>154</v>
      </c>
      <c r="C21" s="718">
        <v>259462815.66830003</v>
      </c>
      <c r="D21" s="719">
        <v>0</v>
      </c>
      <c r="E21" s="718">
        <v>0</v>
      </c>
      <c r="F21" s="721">
        <v>103342881.50999999</v>
      </c>
      <c r="G21" s="721">
        <v>103342881.50999999</v>
      </c>
      <c r="H21" s="203">
        <f t="shared" si="0"/>
        <v>0.39829553704571913</v>
      </c>
    </row>
    <row r="22" spans="1:8" ht="13.5" thickBot="1">
      <c r="A22" s="104"/>
      <c r="B22" s="110" t="s">
        <v>66</v>
      </c>
      <c r="C22" s="182">
        <f>SUM(C8:C21)</f>
        <v>461348896.86124516</v>
      </c>
      <c r="D22" s="182">
        <f>SUM(D8:D21)</f>
        <v>2236266.6291629998</v>
      </c>
      <c r="E22" s="182">
        <f>SUM(E8:E21)</f>
        <v>1128133.3145814999</v>
      </c>
      <c r="F22" s="182">
        <f>SUM(F8:F21)</f>
        <v>311697218.93473661</v>
      </c>
      <c r="G22" s="182">
        <f>SUM(G8:G21)</f>
        <v>310114061.63538712</v>
      </c>
      <c r="H22" s="204">
        <f>G22/(C22+E22)</f>
        <v>0.67055019255223658</v>
      </c>
    </row>
    <row r="23" spans="1:8">
      <c r="G23" s="697">
        <f>G22-'5. RWA'!C6</f>
        <v>0</v>
      </c>
      <c r="H23" s="69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C6" sqref="C6:K26"/>
    </sheetView>
  </sheetViews>
  <sheetFormatPr defaultColWidth="9.28515625" defaultRowHeight="12.75"/>
  <cols>
    <col min="1" max="1" width="10.5703125" style="229" bestFit="1" customWidth="1"/>
    <col min="2" max="2" width="104.28515625" style="229" customWidth="1"/>
    <col min="3" max="11" width="12.7109375" style="229" customWidth="1"/>
    <col min="12" max="16384" width="9.28515625" style="229"/>
  </cols>
  <sheetData>
    <row r="1" spans="1:11">
      <c r="A1" s="229" t="s">
        <v>108</v>
      </c>
      <c r="B1" s="229" t="str">
        <f>Info!C2</f>
        <v>JSC "VTB Bank (Georgia)"</v>
      </c>
    </row>
    <row r="2" spans="1:11">
      <c r="A2" s="229" t="s">
        <v>109</v>
      </c>
      <c r="B2" s="748">
        <f>Info!D2</f>
        <v>45473</v>
      </c>
      <c r="C2" s="230"/>
      <c r="D2" s="230"/>
    </row>
    <row r="3" spans="1:11">
      <c r="B3" s="230"/>
      <c r="C3" s="230"/>
      <c r="D3" s="230"/>
    </row>
    <row r="4" spans="1:11" ht="13.5" thickBot="1">
      <c r="A4" s="229" t="s">
        <v>352</v>
      </c>
      <c r="B4" s="198" t="s">
        <v>351</v>
      </c>
      <c r="C4" s="230"/>
      <c r="D4" s="230"/>
    </row>
    <row r="5" spans="1:11" ht="30" customHeight="1">
      <c r="A5" s="862"/>
      <c r="B5" s="863"/>
      <c r="C5" s="860" t="s">
        <v>384</v>
      </c>
      <c r="D5" s="860"/>
      <c r="E5" s="860"/>
      <c r="F5" s="860" t="s">
        <v>385</v>
      </c>
      <c r="G5" s="860"/>
      <c r="H5" s="860"/>
      <c r="I5" s="860" t="s">
        <v>386</v>
      </c>
      <c r="J5" s="860"/>
      <c r="K5" s="861"/>
    </row>
    <row r="6" spans="1:11">
      <c r="A6" s="227"/>
      <c r="B6" s="228"/>
      <c r="C6" s="231" t="s">
        <v>26</v>
      </c>
      <c r="D6" s="231" t="s">
        <v>90</v>
      </c>
      <c r="E6" s="231" t="s">
        <v>66</v>
      </c>
      <c r="F6" s="231" t="s">
        <v>26</v>
      </c>
      <c r="G6" s="231" t="s">
        <v>90</v>
      </c>
      <c r="H6" s="231" t="s">
        <v>66</v>
      </c>
      <c r="I6" s="231" t="s">
        <v>26</v>
      </c>
      <c r="J6" s="231" t="s">
        <v>90</v>
      </c>
      <c r="K6" s="233" t="s">
        <v>66</v>
      </c>
    </row>
    <row r="7" spans="1:11">
      <c r="A7" s="234" t="s">
        <v>322</v>
      </c>
      <c r="B7" s="226"/>
      <c r="C7" s="226"/>
      <c r="D7" s="226"/>
      <c r="E7" s="226"/>
      <c r="F7" s="226"/>
      <c r="G7" s="226"/>
      <c r="H7" s="226"/>
      <c r="I7" s="226"/>
      <c r="J7" s="226"/>
      <c r="K7" s="235"/>
    </row>
    <row r="8" spans="1:11">
      <c r="A8" s="225">
        <v>1</v>
      </c>
      <c r="B8" s="210" t="s">
        <v>322</v>
      </c>
      <c r="C8" s="732"/>
      <c r="D8" s="732"/>
      <c r="E8" s="732"/>
      <c r="F8" s="733">
        <v>84727591.331318632</v>
      </c>
      <c r="G8" s="733">
        <v>61369248.44304724</v>
      </c>
      <c r="H8" s="733">
        <v>146096839.77436593</v>
      </c>
      <c r="I8" s="733">
        <v>84727591.331318632</v>
      </c>
      <c r="J8" s="733">
        <v>61369248.44304724</v>
      </c>
      <c r="K8" s="734">
        <v>146096839.77436593</v>
      </c>
    </row>
    <row r="9" spans="1:11">
      <c r="A9" s="234" t="s">
        <v>323</v>
      </c>
      <c r="B9" s="226"/>
      <c r="C9" s="735"/>
      <c r="D9" s="735"/>
      <c r="E9" s="735"/>
      <c r="F9" s="735"/>
      <c r="G9" s="735"/>
      <c r="H9" s="735"/>
      <c r="I9" s="735"/>
      <c r="J9" s="735"/>
      <c r="K9" s="736"/>
    </row>
    <row r="10" spans="1:11">
      <c r="A10" s="236">
        <v>2</v>
      </c>
      <c r="B10" s="211" t="s">
        <v>324</v>
      </c>
      <c r="C10" s="365">
        <v>3430717.1910989042</v>
      </c>
      <c r="D10" s="737">
        <v>464214.27868131874</v>
      </c>
      <c r="E10" s="737">
        <v>3894931.4697802193</v>
      </c>
      <c r="F10" s="737">
        <v>633254.18404615403</v>
      </c>
      <c r="G10" s="737">
        <v>112628.54763846155</v>
      </c>
      <c r="H10" s="737">
        <v>745882.73168461537</v>
      </c>
      <c r="I10" s="737">
        <v>157818.74005494508</v>
      </c>
      <c r="J10" s="737">
        <v>13241.435137362641</v>
      </c>
      <c r="K10" s="738">
        <v>171060.1751923078</v>
      </c>
    </row>
    <row r="11" spans="1:11">
      <c r="A11" s="236">
        <v>3</v>
      </c>
      <c r="B11" s="211" t="s">
        <v>325</v>
      </c>
      <c r="C11" s="365">
        <v>11948189.101978024</v>
      </c>
      <c r="D11" s="737">
        <v>82939478.624175861</v>
      </c>
      <c r="E11" s="737">
        <v>94887667.726153851</v>
      </c>
      <c r="F11" s="737">
        <v>7010911.4765059603</v>
      </c>
      <c r="G11" s="737">
        <v>377476.75124175812</v>
      </c>
      <c r="H11" s="737">
        <v>7388388.2277477197</v>
      </c>
      <c r="I11" s="737">
        <v>3806179.338032966</v>
      </c>
      <c r="J11" s="737">
        <v>363031.2627252746</v>
      </c>
      <c r="K11" s="738">
        <v>4169210.600758242</v>
      </c>
    </row>
    <row r="12" spans="1:11">
      <c r="A12" s="236">
        <v>4</v>
      </c>
      <c r="B12" s="211" t="s">
        <v>326</v>
      </c>
      <c r="C12" s="365">
        <v>0</v>
      </c>
      <c r="D12" s="737">
        <v>0</v>
      </c>
      <c r="E12" s="737">
        <v>0</v>
      </c>
      <c r="F12" s="737">
        <v>0</v>
      </c>
      <c r="G12" s="737">
        <v>0</v>
      </c>
      <c r="H12" s="737">
        <v>0</v>
      </c>
      <c r="I12" s="737">
        <v>0</v>
      </c>
      <c r="J12" s="737">
        <v>0</v>
      </c>
      <c r="K12" s="738">
        <v>0</v>
      </c>
    </row>
    <row r="13" spans="1:11">
      <c r="A13" s="236">
        <v>5</v>
      </c>
      <c r="B13" s="211" t="s">
        <v>327</v>
      </c>
      <c r="C13" s="365">
        <v>2232087.9120879122</v>
      </c>
      <c r="D13" s="737">
        <v>15858.670692967029</v>
      </c>
      <c r="E13" s="737">
        <v>2247946.5827808771</v>
      </c>
      <c r="F13" s="737">
        <v>223802.1978021978</v>
      </c>
      <c r="G13" s="737">
        <v>1585.867069296703</v>
      </c>
      <c r="H13" s="737">
        <v>225388.0648714946</v>
      </c>
      <c r="I13" s="737">
        <v>111604.3956043956</v>
      </c>
      <c r="J13" s="737">
        <v>792.9335346483515</v>
      </c>
      <c r="K13" s="738">
        <v>112397.329139044</v>
      </c>
    </row>
    <row r="14" spans="1:11">
      <c r="A14" s="236">
        <v>6</v>
      </c>
      <c r="B14" s="211" t="s">
        <v>342</v>
      </c>
      <c r="C14" s="365">
        <v>0</v>
      </c>
      <c r="D14" s="737">
        <v>0</v>
      </c>
      <c r="E14" s="737">
        <v>0</v>
      </c>
      <c r="F14" s="737">
        <v>0</v>
      </c>
      <c r="G14" s="737">
        <v>0</v>
      </c>
      <c r="H14" s="737">
        <v>0</v>
      </c>
      <c r="I14" s="737">
        <v>0</v>
      </c>
      <c r="J14" s="737">
        <v>0</v>
      </c>
      <c r="K14" s="738">
        <v>0</v>
      </c>
    </row>
    <row r="15" spans="1:11">
      <c r="A15" s="236">
        <v>7</v>
      </c>
      <c r="B15" s="211" t="s">
        <v>329</v>
      </c>
      <c r="C15" s="365">
        <v>3170184.9414285701</v>
      </c>
      <c r="D15" s="737">
        <v>32744923.142434072</v>
      </c>
      <c r="E15" s="737">
        <v>35915108.083862647</v>
      </c>
      <c r="F15" s="737">
        <v>395223.56934065936</v>
      </c>
      <c r="G15" s="737">
        <v>14645860.455918681</v>
      </c>
      <c r="H15" s="737">
        <v>15041084.025259342</v>
      </c>
      <c r="I15" s="737">
        <v>395223.56934065936</v>
      </c>
      <c r="J15" s="737">
        <v>14645860.455918681</v>
      </c>
      <c r="K15" s="738">
        <v>15041084.025259342</v>
      </c>
    </row>
    <row r="16" spans="1:11">
      <c r="A16" s="236">
        <v>8</v>
      </c>
      <c r="B16" s="212" t="s">
        <v>330</v>
      </c>
      <c r="C16" s="365">
        <v>20781179.146593407</v>
      </c>
      <c r="D16" s="737">
        <v>116164474.71598423</v>
      </c>
      <c r="E16" s="737">
        <v>136945653.86257756</v>
      </c>
      <c r="F16" s="737">
        <v>8263191.4276949707</v>
      </c>
      <c r="G16" s="737">
        <v>15137551.621868204</v>
      </c>
      <c r="H16" s="737">
        <v>23400743.049563181</v>
      </c>
      <c r="I16" s="737">
        <v>4470826.0430329675</v>
      </c>
      <c r="J16" s="737">
        <v>15022926.087315965</v>
      </c>
      <c r="K16" s="738">
        <v>19493752.130348936</v>
      </c>
    </row>
    <row r="17" spans="1:11">
      <c r="A17" s="234" t="s">
        <v>331</v>
      </c>
      <c r="B17" s="226"/>
      <c r="C17" s="735"/>
      <c r="D17" s="735"/>
      <c r="E17" s="735"/>
      <c r="F17" s="735"/>
      <c r="G17" s="735"/>
      <c r="H17" s="735"/>
      <c r="I17" s="735"/>
      <c r="J17" s="735"/>
      <c r="K17" s="736"/>
    </row>
    <row r="18" spans="1:11">
      <c r="A18" s="236">
        <v>9</v>
      </c>
      <c r="B18" s="211" t="s">
        <v>332</v>
      </c>
      <c r="C18" s="365">
        <v>0</v>
      </c>
      <c r="D18" s="737">
        <v>0</v>
      </c>
      <c r="E18" s="737">
        <v>0</v>
      </c>
      <c r="F18" s="737">
        <v>0</v>
      </c>
      <c r="G18" s="737">
        <v>0</v>
      </c>
      <c r="H18" s="737">
        <v>0</v>
      </c>
      <c r="I18" s="737">
        <v>0</v>
      </c>
      <c r="J18" s="737">
        <v>0</v>
      </c>
      <c r="K18" s="738">
        <v>0</v>
      </c>
    </row>
    <row r="19" spans="1:11">
      <c r="A19" s="236">
        <v>10</v>
      </c>
      <c r="B19" s="211" t="s">
        <v>333</v>
      </c>
      <c r="C19" s="365">
        <v>36021548.883819066</v>
      </c>
      <c r="D19" s="737">
        <v>38636056.260638088</v>
      </c>
      <c r="E19" s="737">
        <v>74657605.144457161</v>
      </c>
      <c r="F19" s="737">
        <v>29340.114760457702</v>
      </c>
      <c r="G19" s="737">
        <v>892980.11990868044</v>
      </c>
      <c r="H19" s="737">
        <v>922320.2346691381</v>
      </c>
      <c r="I19" s="737">
        <v>29340.114760457702</v>
      </c>
      <c r="J19" s="737">
        <v>892980.11990868044</v>
      </c>
      <c r="K19" s="738">
        <v>922320.2346691381</v>
      </c>
    </row>
    <row r="20" spans="1:11">
      <c r="A20" s="236">
        <v>11</v>
      </c>
      <c r="B20" s="211" t="s">
        <v>334</v>
      </c>
      <c r="C20" s="365">
        <v>14305220.559890116</v>
      </c>
      <c r="D20" s="737">
        <v>3402026.7804681337</v>
      </c>
      <c r="E20" s="737">
        <v>17707247.340358239</v>
      </c>
      <c r="F20" s="737">
        <v>0</v>
      </c>
      <c r="G20" s="737">
        <v>0</v>
      </c>
      <c r="H20" s="737">
        <v>0</v>
      </c>
      <c r="I20" s="737">
        <v>0</v>
      </c>
      <c r="J20" s="737">
        <v>0</v>
      </c>
      <c r="K20" s="738">
        <v>0</v>
      </c>
    </row>
    <row r="21" spans="1:11" ht="13.5" thickBot="1">
      <c r="A21" s="156">
        <v>12</v>
      </c>
      <c r="B21" s="237" t="s">
        <v>335</v>
      </c>
      <c r="C21" s="739">
        <v>50326769.443709195</v>
      </c>
      <c r="D21" s="740">
        <v>42038083.041106217</v>
      </c>
      <c r="E21" s="739">
        <v>92364852.484815463</v>
      </c>
      <c r="F21" s="740">
        <v>29340.114760457702</v>
      </c>
      <c r="G21" s="740">
        <v>892980.11990868044</v>
      </c>
      <c r="H21" s="740">
        <v>922320.2346691381</v>
      </c>
      <c r="I21" s="740">
        <v>29340.114760457702</v>
      </c>
      <c r="J21" s="740">
        <v>892980.11990868044</v>
      </c>
      <c r="K21" s="741">
        <v>922320.2346691381</v>
      </c>
    </row>
    <row r="22" spans="1:11" ht="38.25" customHeight="1" thickBot="1">
      <c r="A22" s="223"/>
      <c r="B22" s="224"/>
      <c r="C22" s="224"/>
      <c r="D22" s="224"/>
      <c r="E22" s="224"/>
      <c r="F22" s="859" t="s">
        <v>336</v>
      </c>
      <c r="G22" s="860"/>
      <c r="H22" s="860"/>
      <c r="I22" s="859" t="s">
        <v>337</v>
      </c>
      <c r="J22" s="860"/>
      <c r="K22" s="861"/>
    </row>
    <row r="23" spans="1:11">
      <c r="A23" s="216">
        <v>13</v>
      </c>
      <c r="B23" s="213" t="s">
        <v>322</v>
      </c>
      <c r="C23" s="222"/>
      <c r="D23" s="222"/>
      <c r="E23" s="222"/>
      <c r="F23" s="742">
        <v>84727591.331318632</v>
      </c>
      <c r="G23" s="742">
        <v>61369248.44304724</v>
      </c>
      <c r="H23" s="742">
        <v>146096839.77436593</v>
      </c>
      <c r="I23" s="742">
        <v>84727591.331318632</v>
      </c>
      <c r="J23" s="742">
        <v>61369248.44304724</v>
      </c>
      <c r="K23" s="743">
        <v>146096839.77436593</v>
      </c>
    </row>
    <row r="24" spans="1:11" ht="13.5" thickBot="1">
      <c r="A24" s="217">
        <v>14</v>
      </c>
      <c r="B24" s="214" t="s">
        <v>338</v>
      </c>
      <c r="C24" s="238"/>
      <c r="D24" s="220"/>
      <c r="E24" s="221"/>
      <c r="F24" s="744">
        <v>8233851.3129345132</v>
      </c>
      <c r="G24" s="744">
        <v>14244571.501959523</v>
      </c>
      <c r="H24" s="744">
        <v>22478422.814894043</v>
      </c>
      <c r="I24" s="744">
        <v>4441485.9282725099</v>
      </c>
      <c r="J24" s="744">
        <v>14129945.967407284</v>
      </c>
      <c r="K24" s="745">
        <v>18571431.895679798</v>
      </c>
    </row>
    <row r="25" spans="1:11" ht="13.5" thickBot="1">
      <c r="A25" s="218">
        <v>15</v>
      </c>
      <c r="B25" s="215" t="s">
        <v>339</v>
      </c>
      <c r="C25" s="219"/>
      <c r="D25" s="219"/>
      <c r="E25" s="219"/>
      <c r="F25" s="746">
        <v>10.290153187272219</v>
      </c>
      <c r="G25" s="746">
        <v>4.3082551436949235</v>
      </c>
      <c r="H25" s="746">
        <v>6.499425737181312</v>
      </c>
      <c r="I25" s="746">
        <v>19.076406567446433</v>
      </c>
      <c r="J25" s="746">
        <v>4.3432047500113642</v>
      </c>
      <c r="K25" s="747">
        <v>7.8667515027934858</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9">
        <f>Info!D2</f>
        <v>45473</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7">
        <f>SUM(C8:C13)</f>
        <v>0</v>
      </c>
      <c r="D7" s="67"/>
      <c r="E7" s="190">
        <f t="shared" ref="E7:M7" si="0">SUM(E8:E13)</f>
        <v>0</v>
      </c>
      <c r="F7" s="187">
        <f>SUM(F8:F13)</f>
        <v>0</v>
      </c>
      <c r="G7" s="187">
        <f t="shared" si="0"/>
        <v>0</v>
      </c>
      <c r="H7" s="187">
        <f t="shared" si="0"/>
        <v>0</v>
      </c>
      <c r="I7" s="187">
        <f t="shared" si="0"/>
        <v>0</v>
      </c>
      <c r="J7" s="187">
        <f t="shared" si="0"/>
        <v>0</v>
      </c>
      <c r="K7" s="187">
        <f t="shared" si="0"/>
        <v>0</v>
      </c>
      <c r="L7" s="187">
        <f t="shared" si="0"/>
        <v>0</v>
      </c>
      <c r="M7" s="187">
        <f t="shared" si="0"/>
        <v>0</v>
      </c>
      <c r="N7" s="114">
        <f>SUM(N8:N13)</f>
        <v>0</v>
      </c>
    </row>
    <row r="8" spans="1:14">
      <c r="A8" s="113">
        <v>1.1000000000000001</v>
      </c>
      <c r="B8" s="73" t="s">
        <v>76</v>
      </c>
      <c r="C8" s="188">
        <v>0</v>
      </c>
      <c r="D8" s="74">
        <v>0.02</v>
      </c>
      <c r="E8" s="190">
        <f>C8*D8</f>
        <v>0</v>
      </c>
      <c r="F8" s="188"/>
      <c r="G8" s="188"/>
      <c r="H8" s="188"/>
      <c r="I8" s="188"/>
      <c r="J8" s="188"/>
      <c r="K8" s="188"/>
      <c r="L8" s="188"/>
      <c r="M8" s="188"/>
      <c r="N8" s="114">
        <f>SUMPRODUCT($F$6:$M$6,F8:M8)</f>
        <v>0</v>
      </c>
    </row>
    <row r="9" spans="1:14">
      <c r="A9" s="113">
        <v>1.2</v>
      </c>
      <c r="B9" s="73" t="s">
        <v>77</v>
      </c>
      <c r="C9" s="188">
        <v>0</v>
      </c>
      <c r="D9" s="74">
        <v>0.05</v>
      </c>
      <c r="E9" s="190">
        <f>C9*D9</f>
        <v>0</v>
      </c>
      <c r="F9" s="188"/>
      <c r="G9" s="188"/>
      <c r="H9" s="188"/>
      <c r="I9" s="188"/>
      <c r="J9" s="188"/>
      <c r="K9" s="188"/>
      <c r="L9" s="188"/>
      <c r="M9" s="188"/>
      <c r="N9" s="114">
        <f t="shared" ref="N9:N12" si="1">SUMPRODUCT($F$6:$M$6,F9:M9)</f>
        <v>0</v>
      </c>
    </row>
    <row r="10" spans="1:14">
      <c r="A10" s="113">
        <v>1.3</v>
      </c>
      <c r="B10" s="73" t="s">
        <v>78</v>
      </c>
      <c r="C10" s="188">
        <v>0</v>
      </c>
      <c r="D10" s="74">
        <v>0.08</v>
      </c>
      <c r="E10" s="190">
        <f>C10*D10</f>
        <v>0</v>
      </c>
      <c r="F10" s="188"/>
      <c r="G10" s="188"/>
      <c r="H10" s="188"/>
      <c r="I10" s="188"/>
      <c r="J10" s="188"/>
      <c r="K10" s="188"/>
      <c r="L10" s="188"/>
      <c r="M10" s="188"/>
      <c r="N10" s="114">
        <f>SUMPRODUCT($F$6:$M$6,F10:M10)</f>
        <v>0</v>
      </c>
    </row>
    <row r="11" spans="1:14">
      <c r="A11" s="113">
        <v>1.4</v>
      </c>
      <c r="B11" s="73" t="s">
        <v>79</v>
      </c>
      <c r="C11" s="188">
        <v>0</v>
      </c>
      <c r="D11" s="74">
        <v>0.11</v>
      </c>
      <c r="E11" s="190">
        <f>C11*D11</f>
        <v>0</v>
      </c>
      <c r="F11" s="188"/>
      <c r="G11" s="188"/>
      <c r="H11" s="188"/>
      <c r="I11" s="188"/>
      <c r="J11" s="188"/>
      <c r="K11" s="188"/>
      <c r="L11" s="188"/>
      <c r="M11" s="188"/>
      <c r="N11" s="114">
        <f t="shared" si="1"/>
        <v>0</v>
      </c>
    </row>
    <row r="12" spans="1:14">
      <c r="A12" s="113">
        <v>1.5</v>
      </c>
      <c r="B12" s="73" t="s">
        <v>80</v>
      </c>
      <c r="C12" s="188">
        <v>0</v>
      </c>
      <c r="D12" s="74">
        <v>0.14000000000000001</v>
      </c>
      <c r="E12" s="190">
        <f>C12*D12</f>
        <v>0</v>
      </c>
      <c r="F12" s="188"/>
      <c r="G12" s="188"/>
      <c r="H12" s="188"/>
      <c r="I12" s="188"/>
      <c r="J12" s="188"/>
      <c r="K12" s="188"/>
      <c r="L12" s="188"/>
      <c r="M12" s="188"/>
      <c r="N12" s="114">
        <f t="shared" si="1"/>
        <v>0</v>
      </c>
    </row>
    <row r="13" spans="1:14">
      <c r="A13" s="113">
        <v>1.6</v>
      </c>
      <c r="B13" s="75" t="s">
        <v>81</v>
      </c>
      <c r="C13" s="188">
        <v>0</v>
      </c>
      <c r="D13" s="76"/>
      <c r="E13" s="188"/>
      <c r="F13" s="188"/>
      <c r="G13" s="188"/>
      <c r="H13" s="188"/>
      <c r="I13" s="188"/>
      <c r="J13" s="188"/>
      <c r="K13" s="188"/>
      <c r="L13" s="188"/>
      <c r="M13" s="188"/>
      <c r="N13" s="114">
        <f>SUMPRODUCT($F$6:$M$6,F13:M13)</f>
        <v>0</v>
      </c>
    </row>
    <row r="14" spans="1:14">
      <c r="A14" s="113">
        <v>2</v>
      </c>
      <c r="B14" s="77" t="s">
        <v>82</v>
      </c>
      <c r="C14" s="187">
        <f>SUM(C15:C20)</f>
        <v>0</v>
      </c>
      <c r="D14" s="67"/>
      <c r="E14" s="190">
        <f t="shared" ref="E14:M14" si="2">SUM(E15:E20)</f>
        <v>0</v>
      </c>
      <c r="F14" s="188">
        <f t="shared" si="2"/>
        <v>0</v>
      </c>
      <c r="G14" s="188">
        <f t="shared" si="2"/>
        <v>0</v>
      </c>
      <c r="H14" s="188">
        <f t="shared" si="2"/>
        <v>0</v>
      </c>
      <c r="I14" s="188">
        <f t="shared" si="2"/>
        <v>0</v>
      </c>
      <c r="J14" s="188">
        <f t="shared" si="2"/>
        <v>0</v>
      </c>
      <c r="K14" s="188">
        <f t="shared" si="2"/>
        <v>0</v>
      </c>
      <c r="L14" s="188">
        <f t="shared" si="2"/>
        <v>0</v>
      </c>
      <c r="M14" s="188">
        <f t="shared" si="2"/>
        <v>0</v>
      </c>
      <c r="N14" s="114">
        <f>SUM(N15:N20)</f>
        <v>0</v>
      </c>
    </row>
    <row r="15" spans="1:14">
      <c r="A15" s="113">
        <v>2.1</v>
      </c>
      <c r="B15" s="75" t="s">
        <v>76</v>
      </c>
      <c r="C15" s="188"/>
      <c r="D15" s="74">
        <v>5.0000000000000001E-3</v>
      </c>
      <c r="E15" s="190">
        <f>C15*D15</f>
        <v>0</v>
      </c>
      <c r="F15" s="188"/>
      <c r="G15" s="188"/>
      <c r="H15" s="188"/>
      <c r="I15" s="188"/>
      <c r="J15" s="188"/>
      <c r="K15" s="188"/>
      <c r="L15" s="188"/>
      <c r="M15" s="188"/>
      <c r="N15" s="114">
        <f>SUMPRODUCT($F$6:$M$6,F15:M15)</f>
        <v>0</v>
      </c>
    </row>
    <row r="16" spans="1:14">
      <c r="A16" s="113">
        <v>2.2000000000000002</v>
      </c>
      <c r="B16" s="75" t="s">
        <v>77</v>
      </c>
      <c r="C16" s="188"/>
      <c r="D16" s="74">
        <v>0.01</v>
      </c>
      <c r="E16" s="190">
        <f>C16*D16</f>
        <v>0</v>
      </c>
      <c r="F16" s="188"/>
      <c r="G16" s="188"/>
      <c r="H16" s="188"/>
      <c r="I16" s="188"/>
      <c r="J16" s="188"/>
      <c r="K16" s="188"/>
      <c r="L16" s="188"/>
      <c r="M16" s="188"/>
      <c r="N16" s="114">
        <f t="shared" ref="N16:N20" si="3">SUMPRODUCT($F$6:$M$6,F16:M16)</f>
        <v>0</v>
      </c>
    </row>
    <row r="17" spans="1:14">
      <c r="A17" s="113">
        <v>2.2999999999999998</v>
      </c>
      <c r="B17" s="75" t="s">
        <v>78</v>
      </c>
      <c r="C17" s="188"/>
      <c r="D17" s="74">
        <v>0.02</v>
      </c>
      <c r="E17" s="190">
        <f>C17*D17</f>
        <v>0</v>
      </c>
      <c r="F17" s="188"/>
      <c r="G17" s="188"/>
      <c r="H17" s="188"/>
      <c r="I17" s="188"/>
      <c r="J17" s="188"/>
      <c r="K17" s="188"/>
      <c r="L17" s="188"/>
      <c r="M17" s="188"/>
      <c r="N17" s="114">
        <f t="shared" si="3"/>
        <v>0</v>
      </c>
    </row>
    <row r="18" spans="1:14">
      <c r="A18" s="113">
        <v>2.4</v>
      </c>
      <c r="B18" s="75" t="s">
        <v>79</v>
      </c>
      <c r="C18" s="188"/>
      <c r="D18" s="74">
        <v>0.03</v>
      </c>
      <c r="E18" s="190">
        <f>C18*D18</f>
        <v>0</v>
      </c>
      <c r="F18" s="188"/>
      <c r="G18" s="188"/>
      <c r="H18" s="188"/>
      <c r="I18" s="188"/>
      <c r="J18" s="188"/>
      <c r="K18" s="188"/>
      <c r="L18" s="188"/>
      <c r="M18" s="188"/>
      <c r="N18" s="114">
        <f t="shared" si="3"/>
        <v>0</v>
      </c>
    </row>
    <row r="19" spans="1:14">
      <c r="A19" s="113">
        <v>2.5</v>
      </c>
      <c r="B19" s="75" t="s">
        <v>80</v>
      </c>
      <c r="C19" s="188"/>
      <c r="D19" s="74">
        <v>0.04</v>
      </c>
      <c r="E19" s="190">
        <f>C19*D19</f>
        <v>0</v>
      </c>
      <c r="F19" s="188"/>
      <c r="G19" s="188"/>
      <c r="H19" s="188"/>
      <c r="I19" s="188"/>
      <c r="J19" s="188"/>
      <c r="K19" s="188"/>
      <c r="L19" s="188"/>
      <c r="M19" s="188"/>
      <c r="N19" s="114">
        <f t="shared" si="3"/>
        <v>0</v>
      </c>
    </row>
    <row r="20" spans="1:14">
      <c r="A20" s="113">
        <v>2.6</v>
      </c>
      <c r="B20" s="75" t="s">
        <v>81</v>
      </c>
      <c r="C20" s="188"/>
      <c r="D20" s="76"/>
      <c r="E20" s="191"/>
      <c r="F20" s="188"/>
      <c r="G20" s="188"/>
      <c r="H20" s="188"/>
      <c r="I20" s="188"/>
      <c r="J20" s="188"/>
      <c r="K20" s="188"/>
      <c r="L20" s="188"/>
      <c r="M20" s="188"/>
      <c r="N20" s="114">
        <f t="shared" si="3"/>
        <v>0</v>
      </c>
    </row>
    <row r="21" spans="1:14" ht="15.75" thickBot="1">
      <c r="A21" s="115">
        <v>3</v>
      </c>
      <c r="B21" s="116" t="s">
        <v>66</v>
      </c>
      <c r="C21" s="189">
        <f>C14+C7</f>
        <v>0</v>
      </c>
      <c r="D21" s="117"/>
      <c r="E21" s="192">
        <f>E14+E7</f>
        <v>0</v>
      </c>
      <c r="F21" s="193">
        <f>F7+F14</f>
        <v>0</v>
      </c>
      <c r="G21" s="193">
        <f t="shared" ref="G21:L21" si="4">G7+G14</f>
        <v>0</v>
      </c>
      <c r="H21" s="193">
        <f t="shared" si="4"/>
        <v>0</v>
      </c>
      <c r="I21" s="193">
        <f t="shared" si="4"/>
        <v>0</v>
      </c>
      <c r="J21" s="193">
        <f t="shared" si="4"/>
        <v>0</v>
      </c>
      <c r="K21" s="193">
        <f t="shared" si="4"/>
        <v>0</v>
      </c>
      <c r="L21" s="193">
        <f t="shared" si="4"/>
        <v>0</v>
      </c>
      <c r="M21" s="193">
        <f>M7+M14</f>
        <v>0</v>
      </c>
      <c r="N21" s="118">
        <f>N14+N7</f>
        <v>0</v>
      </c>
    </row>
    <row r="22" spans="1:14">
      <c r="E22" s="194"/>
      <c r="F22" s="194"/>
      <c r="G22" s="194"/>
      <c r="H22" s="194"/>
      <c r="I22" s="194"/>
      <c r="J22" s="194"/>
      <c r="K22" s="194"/>
      <c r="L22" s="194"/>
      <c r="M22" s="194"/>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4" zoomScale="55" zoomScaleNormal="55" workbookViewId="0">
      <selection activeCell="C7" sqref="C6:C7"/>
    </sheetView>
  </sheetViews>
  <sheetFormatPr defaultRowHeight="15"/>
  <cols>
    <col min="1" max="1" width="11.42578125" customWidth="1"/>
    <col min="2" max="2" width="76.7109375" style="4" customWidth="1"/>
    <col min="3" max="3" width="22.7109375" customWidth="1"/>
  </cols>
  <sheetData>
    <row r="1" spans="1:3">
      <c r="A1" s="229" t="s">
        <v>108</v>
      </c>
      <c r="B1" t="str">
        <f>Info!C2</f>
        <v>JSC "VTB Bank (Georgia)"</v>
      </c>
    </row>
    <row r="2" spans="1:3">
      <c r="A2" s="229" t="s">
        <v>109</v>
      </c>
      <c r="B2" s="339">
        <f>Info!D2</f>
        <v>45473</v>
      </c>
    </row>
    <row r="3" spans="1:3">
      <c r="A3" s="229"/>
      <c r="B3"/>
    </row>
    <row r="4" spans="1:3">
      <c r="A4" s="229" t="s">
        <v>428</v>
      </c>
      <c r="B4" t="s">
        <v>387</v>
      </c>
    </row>
    <row r="5" spans="1:3">
      <c r="A5" s="280"/>
      <c r="B5" s="280" t="s">
        <v>388</v>
      </c>
      <c r="C5" s="292"/>
    </row>
    <row r="6" spans="1:3">
      <c r="A6" s="281">
        <v>1</v>
      </c>
      <c r="B6" s="293" t="s">
        <v>440</v>
      </c>
      <c r="C6" s="722">
        <v>462469823.90124512</v>
      </c>
    </row>
    <row r="7" spans="1:3">
      <c r="A7" s="281">
        <v>2</v>
      </c>
      <c r="B7" s="293" t="s">
        <v>389</v>
      </c>
      <c r="C7" s="722">
        <v>-12812902.039999999</v>
      </c>
    </row>
    <row r="8" spans="1:3">
      <c r="A8" s="282">
        <v>3</v>
      </c>
      <c r="B8" s="295" t="s">
        <v>390</v>
      </c>
      <c r="C8" s="296">
        <f>C6+C7</f>
        <v>449656921.8612451</v>
      </c>
    </row>
    <row r="9" spans="1:3">
      <c r="A9" s="283"/>
      <c r="B9" s="283" t="s">
        <v>391</v>
      </c>
      <c r="C9" s="297"/>
    </row>
    <row r="10" spans="1:3">
      <c r="A10" s="284">
        <v>4</v>
      </c>
      <c r="B10" s="298" t="s">
        <v>392</v>
      </c>
      <c r="C10" s="294"/>
    </row>
    <row r="11" spans="1:3">
      <c r="A11" s="284">
        <v>5</v>
      </c>
      <c r="B11" s="299" t="s">
        <v>393</v>
      </c>
      <c r="C11" s="294"/>
    </row>
    <row r="12" spans="1:3">
      <c r="A12" s="284" t="s">
        <v>394</v>
      </c>
      <c r="B12" s="293" t="s">
        <v>395</v>
      </c>
      <c r="C12" s="296">
        <f>'15. CCR'!E21</f>
        <v>0</v>
      </c>
    </row>
    <row r="13" spans="1:3">
      <c r="A13" s="285">
        <v>6</v>
      </c>
      <c r="B13" s="300" t="s">
        <v>396</v>
      </c>
      <c r="C13" s="294"/>
    </row>
    <row r="14" spans="1:3">
      <c r="A14" s="285">
        <v>7</v>
      </c>
      <c r="B14" s="301" t="s">
        <v>397</v>
      </c>
      <c r="C14" s="294"/>
    </row>
    <row r="15" spans="1:3">
      <c r="A15" s="286">
        <v>8</v>
      </c>
      <c r="B15" s="293" t="s">
        <v>398</v>
      </c>
      <c r="C15" s="294"/>
    </row>
    <row r="16" spans="1:3" ht="24">
      <c r="A16" s="285">
        <v>9</v>
      </c>
      <c r="B16" s="301" t="s">
        <v>399</v>
      </c>
      <c r="C16" s="294"/>
    </row>
    <row r="17" spans="1:3">
      <c r="A17" s="285">
        <v>10</v>
      </c>
      <c r="B17" s="301" t="s">
        <v>400</v>
      </c>
      <c r="C17" s="294"/>
    </row>
    <row r="18" spans="1:3">
      <c r="A18" s="287">
        <v>11</v>
      </c>
      <c r="B18" s="302" t="s">
        <v>401</v>
      </c>
      <c r="C18" s="296">
        <f>SUM(C10:C17)</f>
        <v>0</v>
      </c>
    </row>
    <row r="19" spans="1:3">
      <c r="A19" s="283"/>
      <c r="B19" s="283" t="s">
        <v>402</v>
      </c>
      <c r="C19" s="303"/>
    </row>
    <row r="20" spans="1:3">
      <c r="A20" s="285">
        <v>12</v>
      </c>
      <c r="B20" s="298" t="s">
        <v>403</v>
      </c>
      <c r="C20" s="294"/>
    </row>
    <row r="21" spans="1:3">
      <c r="A21" s="285">
        <v>13</v>
      </c>
      <c r="B21" s="298" t="s">
        <v>404</v>
      </c>
      <c r="C21" s="294"/>
    </row>
    <row r="22" spans="1:3">
      <c r="A22" s="285">
        <v>14</v>
      </c>
      <c r="B22" s="298" t="s">
        <v>405</v>
      </c>
      <c r="C22" s="294"/>
    </row>
    <row r="23" spans="1:3" ht="24">
      <c r="A23" s="285" t="s">
        <v>406</v>
      </c>
      <c r="B23" s="298" t="s">
        <v>407</v>
      </c>
      <c r="C23" s="294"/>
    </row>
    <row r="24" spans="1:3">
      <c r="A24" s="285">
        <v>15</v>
      </c>
      <c r="B24" s="298" t="s">
        <v>408</v>
      </c>
      <c r="C24" s="294"/>
    </row>
    <row r="25" spans="1:3">
      <c r="A25" s="285" t="s">
        <v>409</v>
      </c>
      <c r="B25" s="293" t="s">
        <v>410</v>
      </c>
      <c r="C25" s="294"/>
    </row>
    <row r="26" spans="1:3">
      <c r="A26" s="287">
        <v>16</v>
      </c>
      <c r="B26" s="302" t="s">
        <v>411</v>
      </c>
      <c r="C26" s="296">
        <f>SUM(C20:C25)</f>
        <v>0</v>
      </c>
    </row>
    <row r="27" spans="1:3">
      <c r="A27" s="283"/>
      <c r="B27" s="283" t="s">
        <v>412</v>
      </c>
      <c r="C27" s="297"/>
    </row>
    <row r="28" spans="1:3">
      <c r="A28" s="284">
        <v>17</v>
      </c>
      <c r="B28" s="293" t="s">
        <v>413</v>
      </c>
      <c r="C28" s="294"/>
    </row>
    <row r="29" spans="1:3">
      <c r="A29" s="284">
        <v>18</v>
      </c>
      <c r="B29" s="293" t="s">
        <v>414</v>
      </c>
      <c r="C29" s="294"/>
    </row>
    <row r="30" spans="1:3">
      <c r="A30" s="287">
        <v>19</v>
      </c>
      <c r="B30" s="302" t="s">
        <v>415</v>
      </c>
      <c r="C30" s="296">
        <f>C28+C29</f>
        <v>0</v>
      </c>
    </row>
    <row r="31" spans="1:3">
      <c r="A31" s="288"/>
      <c r="B31" s="283" t="s">
        <v>416</v>
      </c>
      <c r="C31" s="297"/>
    </row>
    <row r="32" spans="1:3">
      <c r="A32" s="284" t="s">
        <v>417</v>
      </c>
      <c r="B32" s="298" t="s">
        <v>418</v>
      </c>
      <c r="C32" s="304"/>
    </row>
    <row r="33" spans="1:3">
      <c r="A33" s="284" t="s">
        <v>419</v>
      </c>
      <c r="B33" s="299" t="s">
        <v>420</v>
      </c>
      <c r="C33" s="304"/>
    </row>
    <row r="34" spans="1:3">
      <c r="A34" s="283"/>
      <c r="B34" s="283" t="s">
        <v>421</v>
      </c>
      <c r="C34" s="297"/>
    </row>
    <row r="35" spans="1:3">
      <c r="A35" s="287">
        <v>20</v>
      </c>
      <c r="B35" s="302" t="s">
        <v>86</v>
      </c>
      <c r="C35" s="296">
        <f>'1. key ratios'!C9</f>
        <v>303591589.92262697</v>
      </c>
    </row>
    <row r="36" spans="1:3">
      <c r="A36" s="287">
        <v>21</v>
      </c>
      <c r="B36" s="302" t="s">
        <v>422</v>
      </c>
      <c r="C36" s="296">
        <f>C8+C18+C26+C30</f>
        <v>449656921.8612451</v>
      </c>
    </row>
    <row r="37" spans="1:3">
      <c r="A37" s="289"/>
      <c r="B37" s="289" t="s">
        <v>387</v>
      </c>
      <c r="C37" s="297"/>
    </row>
    <row r="38" spans="1:3">
      <c r="A38" s="287">
        <v>22</v>
      </c>
      <c r="B38" s="302" t="s">
        <v>387</v>
      </c>
      <c r="C38" s="634">
        <f>IFERROR(C35/C36,0)</f>
        <v>0.67516271887016366</v>
      </c>
    </row>
    <row r="39" spans="1:3">
      <c r="A39" s="289"/>
      <c r="B39" s="289" t="s">
        <v>423</v>
      </c>
      <c r="C39" s="297"/>
    </row>
    <row r="40" spans="1:3">
      <c r="A40" s="290" t="s">
        <v>424</v>
      </c>
      <c r="B40" s="298" t="s">
        <v>425</v>
      </c>
      <c r="C40" s="304"/>
    </row>
    <row r="41" spans="1:3">
      <c r="A41" s="291" t="s">
        <v>426</v>
      </c>
      <c r="B41" s="299" t="s">
        <v>427</v>
      </c>
      <c r="C41" s="304"/>
    </row>
    <row r="43" spans="1:3">
      <c r="B43" s="309"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60" zoomScaleNormal="60" workbookViewId="0">
      <pane xSplit="2" ySplit="6" topLeftCell="C7" activePane="bottomRight" state="frozen"/>
      <selection activeCell="B2" sqref="B2"/>
      <selection pane="topRight" activeCell="B2" sqref="B2"/>
      <selection pane="bottomLeft" activeCell="B2" sqref="B2"/>
      <selection pane="bottomRight" activeCell="C20" sqref="C8:G20"/>
    </sheetView>
  </sheetViews>
  <sheetFormatPr defaultRowHeight="15"/>
  <cols>
    <col min="1" max="1" width="9.85546875" style="229" bestFit="1" customWidth="1"/>
    <col min="2" max="2" width="82.7109375" style="23" customWidth="1"/>
    <col min="3" max="7" width="17.5703125" style="229" customWidth="1"/>
  </cols>
  <sheetData>
    <row r="1" spans="1:7">
      <c r="A1" s="229" t="s">
        <v>108</v>
      </c>
      <c r="B1" s="229" t="str">
        <f>Info!C2</f>
        <v>JSC "VTB Bank (Georgia)"</v>
      </c>
    </row>
    <row r="2" spans="1:7">
      <c r="A2" s="229" t="s">
        <v>109</v>
      </c>
      <c r="B2" s="748">
        <f>Info!D2</f>
        <v>45473</v>
      </c>
    </row>
    <row r="3" spans="1:7">
      <c r="B3" s="339"/>
    </row>
    <row r="4" spans="1:7" ht="15.75" thickBot="1">
      <c r="A4" s="229" t="s">
        <v>488</v>
      </c>
      <c r="B4" s="340" t="s">
        <v>453</v>
      </c>
    </row>
    <row r="5" spans="1:7">
      <c r="A5" s="341"/>
      <c r="B5" s="342"/>
      <c r="C5" s="864" t="s">
        <v>454</v>
      </c>
      <c r="D5" s="864"/>
      <c r="E5" s="864"/>
      <c r="F5" s="864"/>
      <c r="G5" s="865" t="s">
        <v>455</v>
      </c>
    </row>
    <row r="6" spans="1:7">
      <c r="A6" s="343"/>
      <c r="B6" s="344"/>
      <c r="C6" s="345" t="s">
        <v>456</v>
      </c>
      <c r="D6" s="346" t="s">
        <v>457</v>
      </c>
      <c r="E6" s="346" t="s">
        <v>458</v>
      </c>
      <c r="F6" s="346" t="s">
        <v>459</v>
      </c>
      <c r="G6" s="866"/>
    </row>
    <row r="7" spans="1:7">
      <c r="A7" s="347"/>
      <c r="B7" s="348" t="s">
        <v>460</v>
      </c>
      <c r="C7" s="349"/>
      <c r="D7" s="349"/>
      <c r="E7" s="349"/>
      <c r="F7" s="349"/>
      <c r="G7" s="350"/>
    </row>
    <row r="8" spans="1:7">
      <c r="A8" s="351">
        <v>1</v>
      </c>
      <c r="B8" s="352" t="s">
        <v>461</v>
      </c>
      <c r="C8" s="793">
        <v>303591589.92262697</v>
      </c>
      <c r="D8" s="793">
        <v>0</v>
      </c>
      <c r="E8" s="793">
        <v>0</v>
      </c>
      <c r="F8" s="793">
        <v>110466980.5587</v>
      </c>
      <c r="G8" s="794">
        <v>414058570.481327</v>
      </c>
    </row>
    <row r="9" spans="1:7">
      <c r="A9" s="351">
        <v>2</v>
      </c>
      <c r="B9" s="355" t="s">
        <v>85</v>
      </c>
      <c r="C9" s="793">
        <v>303591589.92262697</v>
      </c>
      <c r="D9" s="793"/>
      <c r="E9" s="793"/>
      <c r="F9" s="793">
        <v>73777633.902620003</v>
      </c>
      <c r="G9" s="794">
        <v>377369223.82524699</v>
      </c>
    </row>
    <row r="10" spans="1:7">
      <c r="A10" s="351">
        <v>3</v>
      </c>
      <c r="B10" s="355" t="s">
        <v>462</v>
      </c>
      <c r="C10" s="356"/>
      <c r="D10" s="356"/>
      <c r="E10" s="356"/>
      <c r="F10" s="793">
        <v>36689346.656079993</v>
      </c>
      <c r="G10" s="794">
        <v>36689346.656079993</v>
      </c>
    </row>
    <row r="11" spans="1:7" ht="26.25">
      <c r="A11" s="351">
        <v>4</v>
      </c>
      <c r="B11" s="352" t="s">
        <v>463</v>
      </c>
      <c r="C11" s="793">
        <v>3398648.58</v>
      </c>
      <c r="D11" s="793">
        <v>281010</v>
      </c>
      <c r="E11" s="353">
        <v>274342.39</v>
      </c>
      <c r="F11" s="793">
        <v>0</v>
      </c>
      <c r="G11" s="794">
        <v>3756246.1159999999</v>
      </c>
    </row>
    <row r="12" spans="1:7">
      <c r="A12" s="351">
        <v>5</v>
      </c>
      <c r="B12" s="355" t="s">
        <v>464</v>
      </c>
      <c r="C12" s="793">
        <v>3398526.79</v>
      </c>
      <c r="D12" s="795">
        <v>281010</v>
      </c>
      <c r="E12" s="353">
        <v>274342.39</v>
      </c>
      <c r="F12" s="353">
        <v>0</v>
      </c>
      <c r="G12" s="794">
        <v>3756185.2209999999</v>
      </c>
    </row>
    <row r="13" spans="1:7">
      <c r="A13" s="351">
        <v>6</v>
      </c>
      <c r="B13" s="355" t="s">
        <v>465</v>
      </c>
      <c r="C13" s="793">
        <v>121.78999999999999</v>
      </c>
      <c r="D13" s="795">
        <v>0</v>
      </c>
      <c r="E13" s="793">
        <v>0</v>
      </c>
      <c r="F13" s="793">
        <v>0</v>
      </c>
      <c r="G13" s="794">
        <v>60.894999999999996</v>
      </c>
    </row>
    <row r="14" spans="1:7">
      <c r="A14" s="351">
        <v>7</v>
      </c>
      <c r="B14" s="352" t="s">
        <v>466</v>
      </c>
      <c r="C14" s="793">
        <v>10532809.9837</v>
      </c>
      <c r="D14" s="793">
        <v>2127456.338</v>
      </c>
      <c r="E14" s="793">
        <v>16613.310000000001</v>
      </c>
      <c r="F14" s="793">
        <v>0</v>
      </c>
      <c r="G14" s="794">
        <v>6148839.4550000001</v>
      </c>
    </row>
    <row r="15" spans="1:7" ht="51.75">
      <c r="A15" s="351">
        <v>8</v>
      </c>
      <c r="B15" s="355" t="s">
        <v>467</v>
      </c>
      <c r="C15" s="793">
        <v>10198847.390000001</v>
      </c>
      <c r="D15" s="795">
        <v>2082218.21</v>
      </c>
      <c r="E15" s="793">
        <v>16613.310000000001</v>
      </c>
      <c r="F15" s="793">
        <v>0</v>
      </c>
      <c r="G15" s="794">
        <v>6148839.4550000001</v>
      </c>
    </row>
    <row r="16" spans="1:7" ht="26.25">
      <c r="A16" s="351">
        <v>9</v>
      </c>
      <c r="B16" s="355" t="s">
        <v>468</v>
      </c>
      <c r="C16" s="793">
        <v>333962.59369999997</v>
      </c>
      <c r="D16" s="795">
        <v>45238.128000000004</v>
      </c>
      <c r="E16" s="793">
        <v>0</v>
      </c>
      <c r="F16" s="793">
        <v>0</v>
      </c>
      <c r="G16" s="794">
        <v>0</v>
      </c>
    </row>
    <row r="17" spans="1:7">
      <c r="A17" s="351">
        <v>10</v>
      </c>
      <c r="B17" s="352" t="s">
        <v>469</v>
      </c>
      <c r="C17" s="353"/>
      <c r="D17" s="357"/>
      <c r="E17" s="353"/>
      <c r="F17" s="353"/>
      <c r="G17" s="354">
        <v>0</v>
      </c>
    </row>
    <row r="18" spans="1:7">
      <c r="A18" s="351">
        <v>11</v>
      </c>
      <c r="B18" s="352" t="s">
        <v>89</v>
      </c>
      <c r="C18" s="793">
        <v>17913496.225699998</v>
      </c>
      <c r="D18" s="795">
        <v>1184520.0926000001</v>
      </c>
      <c r="E18" s="793">
        <v>114607.53469999999</v>
      </c>
      <c r="F18" s="793">
        <v>31915.848399999999</v>
      </c>
      <c r="G18" s="354">
        <v>0</v>
      </c>
    </row>
    <row r="19" spans="1:7">
      <c r="A19" s="351">
        <v>12</v>
      </c>
      <c r="B19" s="355" t="s">
        <v>470</v>
      </c>
      <c r="C19" s="356"/>
      <c r="D19" s="357">
        <v>0</v>
      </c>
      <c r="E19" s="353">
        <v>0</v>
      </c>
      <c r="F19" s="353">
        <v>0</v>
      </c>
      <c r="G19" s="354">
        <v>0</v>
      </c>
    </row>
    <row r="20" spans="1:7" ht="26.25">
      <c r="A20" s="351">
        <v>13</v>
      </c>
      <c r="B20" s="355" t="s">
        <v>471</v>
      </c>
      <c r="C20" s="793">
        <v>17913496.225699998</v>
      </c>
      <c r="D20" s="793">
        <v>1184520.0926000001</v>
      </c>
      <c r="E20" s="793">
        <v>114607.53469999999</v>
      </c>
      <c r="F20" s="793">
        <v>31915.848399999999</v>
      </c>
      <c r="G20" s="354">
        <v>0</v>
      </c>
    </row>
    <row r="21" spans="1:7">
      <c r="A21" s="358">
        <v>14</v>
      </c>
      <c r="B21" s="359" t="s">
        <v>472</v>
      </c>
      <c r="C21" s="356"/>
      <c r="D21" s="356"/>
      <c r="E21" s="356"/>
      <c r="F21" s="356"/>
      <c r="G21" s="360">
        <f>SUM(G8,G11,G14,G17,G18)</f>
        <v>423963656.05232698</v>
      </c>
    </row>
    <row r="22" spans="1:7">
      <c r="A22" s="361"/>
      <c r="B22" s="377" t="s">
        <v>473</v>
      </c>
      <c r="C22" s="362"/>
      <c r="D22" s="363"/>
      <c r="E22" s="362"/>
      <c r="F22" s="362"/>
      <c r="G22" s="364"/>
    </row>
    <row r="23" spans="1:7">
      <c r="A23" s="351">
        <v>15</v>
      </c>
      <c r="B23" s="352" t="s">
        <v>322</v>
      </c>
      <c r="C23" s="793">
        <v>156120285.5183</v>
      </c>
      <c r="D23" s="795">
        <v>0</v>
      </c>
      <c r="E23" s="793">
        <v>0</v>
      </c>
      <c r="F23" s="793">
        <v>0</v>
      </c>
      <c r="G23" s="354">
        <v>0</v>
      </c>
    </row>
    <row r="24" spans="1:7">
      <c r="A24" s="351">
        <v>16</v>
      </c>
      <c r="B24" s="352" t="s">
        <v>474</v>
      </c>
      <c r="C24" s="793">
        <v>0</v>
      </c>
      <c r="D24" s="795">
        <v>27693840.545883987</v>
      </c>
      <c r="E24" s="793">
        <v>12109147.438361989</v>
      </c>
      <c r="F24" s="793">
        <v>46929055.286678009</v>
      </c>
      <c r="G24" s="354">
        <v>58868601.323279008</v>
      </c>
    </row>
    <row r="25" spans="1:7" ht="26.25">
      <c r="A25" s="351">
        <v>17</v>
      </c>
      <c r="B25" s="355" t="s">
        <v>475</v>
      </c>
      <c r="C25" s="353">
        <v>0</v>
      </c>
      <c r="D25" s="357">
        <v>0</v>
      </c>
      <c r="E25" s="353">
        <v>0</v>
      </c>
      <c r="F25" s="353">
        <v>0</v>
      </c>
      <c r="G25" s="354">
        <v>0</v>
      </c>
    </row>
    <row r="26" spans="1:7" ht="39">
      <c r="A26" s="351">
        <v>18</v>
      </c>
      <c r="B26" s="355" t="s">
        <v>476</v>
      </c>
      <c r="C26" s="793">
        <v>0</v>
      </c>
      <c r="D26" s="795">
        <v>119570.879</v>
      </c>
      <c r="E26" s="793">
        <v>0</v>
      </c>
      <c r="F26" s="793">
        <v>307551.26990199997</v>
      </c>
      <c r="G26" s="794">
        <v>325486.90175199998</v>
      </c>
    </row>
    <row r="27" spans="1:7">
      <c r="A27" s="351">
        <v>19</v>
      </c>
      <c r="B27" s="355" t="s">
        <v>477</v>
      </c>
      <c r="C27" s="793">
        <v>0</v>
      </c>
      <c r="D27" s="795">
        <v>27384988.477265988</v>
      </c>
      <c r="E27" s="793">
        <v>11914502.463124989</v>
      </c>
      <c r="F27" s="793">
        <v>41987141.28999801</v>
      </c>
      <c r="G27" s="794">
        <v>55338815.566693813</v>
      </c>
    </row>
    <row r="28" spans="1:7">
      <c r="A28" s="351">
        <v>20</v>
      </c>
      <c r="B28" s="366" t="s">
        <v>478</v>
      </c>
      <c r="C28" s="793">
        <v>0</v>
      </c>
      <c r="D28" s="795">
        <v>0</v>
      </c>
      <c r="E28" s="793">
        <v>0</v>
      </c>
      <c r="F28" s="793">
        <v>0</v>
      </c>
      <c r="G28" s="794">
        <v>0</v>
      </c>
    </row>
    <row r="29" spans="1:7">
      <c r="A29" s="351">
        <v>21</v>
      </c>
      <c r="B29" s="355" t="s">
        <v>479</v>
      </c>
      <c r="C29" s="793">
        <v>0</v>
      </c>
      <c r="D29" s="795">
        <v>189281.18961799977</v>
      </c>
      <c r="E29" s="793">
        <v>194644.97523699983</v>
      </c>
      <c r="F29" s="793">
        <v>4634362.7267780025</v>
      </c>
      <c r="G29" s="794">
        <v>3204298.8548331945</v>
      </c>
    </row>
    <row r="30" spans="1:7">
      <c r="A30" s="351">
        <v>22</v>
      </c>
      <c r="B30" s="366" t="s">
        <v>478</v>
      </c>
      <c r="C30" s="793">
        <v>0</v>
      </c>
      <c r="D30" s="795">
        <v>189281.18961799977</v>
      </c>
      <c r="E30" s="793">
        <v>194644.97523699983</v>
      </c>
      <c r="F30" s="793">
        <v>4634362.7267780025</v>
      </c>
      <c r="G30" s="794">
        <v>3204298.8548331945</v>
      </c>
    </row>
    <row r="31" spans="1:7" ht="26.25">
      <c r="A31" s="351">
        <v>23</v>
      </c>
      <c r="B31" s="355" t="s">
        <v>480</v>
      </c>
      <c r="C31" s="793">
        <v>0</v>
      </c>
      <c r="D31" s="795">
        <v>0</v>
      </c>
      <c r="E31" s="793">
        <v>0</v>
      </c>
      <c r="F31" s="793">
        <v>0</v>
      </c>
      <c r="G31" s="794">
        <v>0</v>
      </c>
    </row>
    <row r="32" spans="1:7">
      <c r="A32" s="351">
        <v>24</v>
      </c>
      <c r="B32" s="352" t="s">
        <v>481</v>
      </c>
      <c r="C32" s="793">
        <v>0</v>
      </c>
      <c r="D32" s="795">
        <v>0</v>
      </c>
      <c r="E32" s="793">
        <v>0</v>
      </c>
      <c r="F32" s="793">
        <v>0</v>
      </c>
      <c r="G32" s="794">
        <v>0</v>
      </c>
    </row>
    <row r="33" spans="1:7">
      <c r="A33" s="351">
        <v>25</v>
      </c>
      <c r="B33" s="352" t="s">
        <v>99</v>
      </c>
      <c r="C33" s="793">
        <v>212543303.31050003</v>
      </c>
      <c r="D33" s="793">
        <v>5664319.2196899997</v>
      </c>
      <c r="E33" s="793">
        <v>220790.35561499998</v>
      </c>
      <c r="F33" s="793">
        <v>68155.009680000003</v>
      </c>
      <c r="G33" s="354">
        <v>215554013.10783243</v>
      </c>
    </row>
    <row r="34" spans="1:7">
      <c r="A34" s="351">
        <v>26</v>
      </c>
      <c r="B34" s="355" t="s">
        <v>482</v>
      </c>
      <c r="C34" s="356"/>
      <c r="D34" s="357">
        <v>0</v>
      </c>
      <c r="E34" s="353">
        <v>0</v>
      </c>
      <c r="F34" s="353">
        <v>0</v>
      </c>
      <c r="G34" s="354">
        <v>0</v>
      </c>
    </row>
    <row r="35" spans="1:7">
      <c r="A35" s="351">
        <v>27</v>
      </c>
      <c r="B35" s="355" t="s">
        <v>483</v>
      </c>
      <c r="C35" s="793">
        <v>212543303.31050003</v>
      </c>
      <c r="D35" s="795">
        <v>5664319.2196899997</v>
      </c>
      <c r="E35" s="793">
        <v>220790.35561499998</v>
      </c>
      <c r="F35" s="793">
        <v>68155.009680000003</v>
      </c>
      <c r="G35" s="794">
        <v>215554013.10783243</v>
      </c>
    </row>
    <row r="36" spans="1:7">
      <c r="A36" s="351">
        <v>28</v>
      </c>
      <c r="B36" s="352" t="s">
        <v>484</v>
      </c>
      <c r="C36" s="793">
        <v>0</v>
      </c>
      <c r="D36" s="795">
        <v>2020000</v>
      </c>
      <c r="E36" s="793">
        <v>16266.62916</v>
      </c>
      <c r="F36" s="793">
        <v>200000</v>
      </c>
      <c r="G36" s="794">
        <v>233626.662916</v>
      </c>
    </row>
    <row r="37" spans="1:7">
      <c r="A37" s="358">
        <v>29</v>
      </c>
      <c r="B37" s="359" t="s">
        <v>485</v>
      </c>
      <c r="C37" s="356"/>
      <c r="D37" s="356"/>
      <c r="E37" s="356"/>
      <c r="F37" s="356"/>
      <c r="G37" s="360">
        <f>SUM(G23:G24,G32:G33,G36)</f>
        <v>274656241.09402746</v>
      </c>
    </row>
    <row r="38" spans="1:7">
      <c r="A38" s="347"/>
      <c r="B38" s="367"/>
      <c r="C38" s="368"/>
      <c r="D38" s="368"/>
      <c r="E38" s="368"/>
      <c r="F38" s="368"/>
      <c r="G38" s="369"/>
    </row>
    <row r="39" spans="1:7" ht="15.75" thickBot="1">
      <c r="A39" s="370">
        <v>30</v>
      </c>
      <c r="B39" s="371" t="s">
        <v>453</v>
      </c>
      <c r="C39" s="238"/>
      <c r="D39" s="220"/>
      <c r="E39" s="220"/>
      <c r="F39" s="372"/>
      <c r="G39" s="373">
        <f>IFERROR(G21/G37,0)</f>
        <v>1.5436155914883607</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71"/>
  <sheetViews>
    <sheetView zoomScale="63" zoomScaleNormal="63" workbookViewId="0">
      <pane xSplit="1" ySplit="5" topLeftCell="B6" activePane="bottomRight" state="frozen"/>
      <selection pane="topRight" activeCell="B1" sqref="B1"/>
      <selection pane="bottomLeft" activeCell="A6" sqref="A6"/>
      <selection pane="bottomRight" activeCell="K6" sqref="K6"/>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29.140625" customWidth="1"/>
    <col min="12" max="12" width="26.7109375" customWidth="1"/>
    <col min="13" max="13" width="6.7109375" customWidth="1"/>
  </cols>
  <sheetData>
    <row r="1" spans="1:13">
      <c r="A1" s="17" t="s">
        <v>108</v>
      </c>
      <c r="B1" s="308" t="str">
        <f>Info!C2</f>
        <v>JSC "VTB Bank (Georgia)"</v>
      </c>
    </row>
    <row r="2" spans="1:13">
      <c r="A2" s="17" t="s">
        <v>109</v>
      </c>
      <c r="B2" s="339">
        <f>Info!D2</f>
        <v>45473</v>
      </c>
      <c r="C2" s="29"/>
      <c r="D2" s="18"/>
      <c r="E2" s="18"/>
      <c r="F2" s="18"/>
      <c r="G2" s="18"/>
      <c r="H2" s="1"/>
    </row>
    <row r="3" spans="1:13" ht="16.5" thickBot="1">
      <c r="A3" s="17"/>
      <c r="C3" s="29"/>
      <c r="D3" s="18"/>
      <c r="E3" s="18"/>
      <c r="F3" s="18"/>
      <c r="G3" s="18"/>
      <c r="H3" s="1"/>
    </row>
    <row r="4" spans="1:13" ht="69" customHeight="1" thickBot="1">
      <c r="A4" s="39" t="s">
        <v>252</v>
      </c>
      <c r="B4" s="150" t="s">
        <v>139</v>
      </c>
      <c r="C4" s="151"/>
      <c r="D4" s="803" t="s">
        <v>936</v>
      </c>
      <c r="E4" s="804"/>
      <c r="F4" s="804"/>
      <c r="G4" s="805"/>
      <c r="H4" s="1"/>
      <c r="J4" s="796"/>
      <c r="K4" s="806" t="s">
        <v>937</v>
      </c>
      <c r="L4" s="807"/>
      <c r="M4" s="457"/>
    </row>
    <row r="5" spans="1:13" ht="15">
      <c r="A5" s="206" t="s">
        <v>25</v>
      </c>
      <c r="B5" s="207"/>
      <c r="C5" s="329" t="str">
        <f>INT((MONTH($B$2))/3)&amp;"Q"&amp;"-"&amp;YEAR($B$2)</f>
        <v>2Q-2024</v>
      </c>
      <c r="D5" s="329" t="str">
        <f>IF(INT(MONTH($B$2))=3, "4"&amp;"Q"&amp;"-"&amp;YEAR($B$2)-1, IF(INT(MONTH($B$2))=6, "1"&amp;"Q"&amp;"-"&amp;YEAR($B$2), IF(INT(MONTH($B$2))=9, "2"&amp;"Q"&amp;"-"&amp;YEAR($B$2),IF(INT(MONTH($B$2))=12, "3"&amp;"Q"&amp;"-"&amp;YEAR($B$2), 0))))</f>
        <v>1Q-2024</v>
      </c>
      <c r="E5" s="329" t="str">
        <f>IF(INT(MONTH($B$2))=3, "3"&amp;"Q"&amp;"-"&amp;YEAR($B$2)-1, IF(INT(MONTH($B$2))=6, "4"&amp;"Q"&amp;"-"&amp;YEAR($B$2)-1, IF(INT(MONTH($B$2))=9, "1"&amp;"Q"&amp;"-"&amp;YEAR($B$2),IF(INT(MONTH($B$2))=12, "2"&amp;"Q"&amp;"-"&amp;YEAR($B$2), 0))))</f>
        <v>4Q-2023</v>
      </c>
      <c r="F5" s="329" t="str">
        <f>IF(INT(MONTH($B$2))=3, "2"&amp;"Q"&amp;"-"&amp;YEAR($B$2)-1, IF(INT(MONTH($B$2))=6, "3"&amp;"Q"&amp;"-"&amp;YEAR($B$2)-1, IF(INT(MONTH($B$2))=9, "4"&amp;"Q"&amp;"-"&amp;YEAR($B$2)-1,IF(INT(MONTH($B$2))=12, "1"&amp;"Q"&amp;"-"&amp;YEAR($B$2), 0))))</f>
        <v>3Q-2023</v>
      </c>
      <c r="G5" s="330" t="str">
        <f>IF(INT(MONTH($B$2))=3, "1"&amp;"Q"&amp;"-"&amp;YEAR($B$2)-1, IF(INT(MONTH($B$2))=6, "2"&amp;"Q"&amp;"-"&amp;YEAR($B$2)-1, IF(INT(MONTH($B$2))=9, "3"&amp;"Q"&amp;"-"&amp;YEAR($B$2)-1,IF(INT(MONTH($B$2))=12, "4"&amp;"Q"&amp;"-"&amp;YEAR($B$2)-1, 0))))</f>
        <v>2Q-2023</v>
      </c>
      <c r="I5" s="617" t="str">
        <f>D5</f>
        <v>1Q-2024</v>
      </c>
      <c r="J5" s="329" t="str">
        <f t="shared" ref="J5:L5" si="0">E5</f>
        <v>4Q-2023</v>
      </c>
      <c r="K5" s="329" t="str">
        <f t="shared" si="0"/>
        <v>3Q-2023</v>
      </c>
      <c r="L5" s="330" t="str">
        <f t="shared" si="0"/>
        <v>2Q-2023</v>
      </c>
    </row>
    <row r="6" spans="1:13" ht="15">
      <c r="A6" s="331"/>
      <c r="B6" s="332" t="s">
        <v>106</v>
      </c>
      <c r="C6" s="208"/>
      <c r="D6" s="208"/>
      <c r="E6" s="208"/>
      <c r="F6" s="208"/>
      <c r="G6" s="209"/>
      <c r="I6" s="618"/>
      <c r="J6" s="208"/>
      <c r="K6" s="208"/>
      <c r="L6" s="209"/>
    </row>
    <row r="7" spans="1:13" ht="15">
      <c r="A7" s="331"/>
      <c r="B7" s="333" t="s">
        <v>110</v>
      </c>
      <c r="C7" s="208"/>
      <c r="D7" s="208"/>
      <c r="E7" s="208"/>
      <c r="F7" s="208"/>
      <c r="G7" s="209"/>
      <c r="I7" s="618"/>
      <c r="J7" s="208"/>
      <c r="K7" s="208"/>
      <c r="L7" s="209"/>
    </row>
    <row r="8" spans="1:13" ht="15">
      <c r="A8" s="313">
        <v>1</v>
      </c>
      <c r="B8" s="314" t="s">
        <v>22</v>
      </c>
      <c r="C8" s="690">
        <v>247437189.92262694</v>
      </c>
      <c r="D8" s="690">
        <v>263088107.66896904</v>
      </c>
      <c r="E8" s="690">
        <v>261350407.10290265</v>
      </c>
      <c r="F8" s="690"/>
      <c r="G8" s="690"/>
      <c r="H8" s="681"/>
      <c r="I8" s="690"/>
      <c r="J8" s="690"/>
      <c r="K8" s="690">
        <v>208608730</v>
      </c>
      <c r="L8" s="690">
        <v>201336930.36000001</v>
      </c>
    </row>
    <row r="9" spans="1:13" ht="15">
      <c r="A9" s="313">
        <v>2</v>
      </c>
      <c r="B9" s="314" t="s">
        <v>86</v>
      </c>
      <c r="C9" s="690">
        <v>303591589.92262697</v>
      </c>
      <c r="D9" s="690">
        <v>312576807.66896904</v>
      </c>
      <c r="E9" s="690">
        <v>312207607.10290265</v>
      </c>
      <c r="F9" s="690"/>
      <c r="G9" s="690"/>
      <c r="H9" s="681"/>
      <c r="I9" s="690"/>
      <c r="J9" s="690"/>
      <c r="K9" s="690">
        <v>255231230</v>
      </c>
      <c r="L9" s="690">
        <v>252488230.36000001</v>
      </c>
    </row>
    <row r="10" spans="1:13" ht="15">
      <c r="A10" s="313">
        <v>3</v>
      </c>
      <c r="B10" s="314" t="s">
        <v>85</v>
      </c>
      <c r="C10" s="690">
        <v>377369223.82524699</v>
      </c>
      <c r="D10" s="690">
        <v>376237383.32272905</v>
      </c>
      <c r="E10" s="690">
        <v>376230252.30290264</v>
      </c>
      <c r="F10" s="690"/>
      <c r="G10" s="690"/>
      <c r="H10" s="681"/>
      <c r="I10" s="690"/>
      <c r="J10" s="690"/>
      <c r="K10" s="690">
        <v>317586383.77606601</v>
      </c>
      <c r="L10" s="690">
        <v>325650691.08664</v>
      </c>
    </row>
    <row r="11" spans="1:13" ht="15">
      <c r="A11" s="313">
        <v>4</v>
      </c>
      <c r="B11" s="314" t="s">
        <v>445</v>
      </c>
      <c r="C11" s="690">
        <v>127023445.01725176</v>
      </c>
      <c r="D11" s="690">
        <v>123740282.60855596</v>
      </c>
      <c r="E11" s="690">
        <v>117804821.99894096</v>
      </c>
      <c r="F11" s="690"/>
      <c r="G11" s="690"/>
      <c r="H11" s="681"/>
      <c r="I11" s="690"/>
      <c r="J11" s="690"/>
      <c r="K11" s="690">
        <v>60753126.281547755</v>
      </c>
      <c r="L11" s="690">
        <v>63036111.867103204</v>
      </c>
    </row>
    <row r="12" spans="1:13" ht="15">
      <c r="A12" s="313">
        <v>5</v>
      </c>
      <c r="B12" s="314" t="s">
        <v>446</v>
      </c>
      <c r="C12" s="690">
        <v>144772864.26428571</v>
      </c>
      <c r="D12" s="690">
        <v>141011028.44011056</v>
      </c>
      <c r="E12" s="690">
        <v>135106224.50536209</v>
      </c>
      <c r="F12" s="690"/>
      <c r="G12" s="690"/>
      <c r="H12" s="681"/>
      <c r="I12" s="690"/>
      <c r="J12" s="690"/>
      <c r="K12" s="690">
        <v>76465254.170579702</v>
      </c>
      <c r="L12" s="690">
        <v>79356644.749012187</v>
      </c>
    </row>
    <row r="13" spans="1:13" ht="15">
      <c r="A13" s="313">
        <v>6</v>
      </c>
      <c r="B13" s="314" t="s">
        <v>447</v>
      </c>
      <c r="C13" s="690">
        <v>168284008.10138208</v>
      </c>
      <c r="D13" s="690">
        <v>163888693.74453959</v>
      </c>
      <c r="E13" s="690">
        <v>158025134.33730406</v>
      </c>
      <c r="F13" s="690"/>
      <c r="G13" s="690"/>
      <c r="H13" s="681"/>
      <c r="I13" s="690"/>
      <c r="J13" s="690"/>
      <c r="K13" s="690">
        <v>97286491.316493705</v>
      </c>
      <c r="L13" s="690">
        <v>100983412.6570493</v>
      </c>
    </row>
    <row r="14" spans="1:13" ht="15">
      <c r="A14" s="331"/>
      <c r="B14" s="332" t="s">
        <v>449</v>
      </c>
      <c r="C14" s="684"/>
      <c r="D14" s="684"/>
      <c r="E14" s="684"/>
      <c r="F14" s="684"/>
      <c r="G14" s="684"/>
      <c r="H14" s="681"/>
      <c r="I14" s="684"/>
      <c r="J14" s="684"/>
      <c r="K14" s="684"/>
      <c r="L14" s="684"/>
    </row>
    <row r="15" spans="1:13" ht="22.35" customHeight="1">
      <c r="A15" s="313">
        <v>7</v>
      </c>
      <c r="B15" s="314" t="s">
        <v>448</v>
      </c>
      <c r="C15" s="691">
        <v>595250345.79651475</v>
      </c>
      <c r="D15" s="691">
        <v>581398999.05699706</v>
      </c>
      <c r="E15" s="691">
        <v>584844829.27359998</v>
      </c>
      <c r="F15" s="691"/>
      <c r="G15" s="691"/>
      <c r="H15" s="681"/>
      <c r="I15" s="691"/>
      <c r="J15" s="691"/>
      <c r="K15" s="691">
        <v>560061709.3135066</v>
      </c>
      <c r="L15" s="691">
        <v>579053640.99603593</v>
      </c>
    </row>
    <row r="16" spans="1:13" ht="15">
      <c r="A16" s="331"/>
      <c r="B16" s="332" t="s">
        <v>452</v>
      </c>
      <c r="C16" s="684"/>
      <c r="D16" s="684"/>
      <c r="E16" s="684"/>
      <c r="F16" s="684"/>
      <c r="G16" s="684"/>
      <c r="H16" s="681"/>
      <c r="I16" s="684"/>
      <c r="J16" s="684"/>
      <c r="K16" s="684"/>
      <c r="L16" s="684"/>
    </row>
    <row r="17" spans="1:12" s="3" customFormat="1" ht="15">
      <c r="A17" s="313"/>
      <c r="B17" s="333" t="s">
        <v>435</v>
      </c>
      <c r="C17" s="684"/>
      <c r="D17" s="684"/>
      <c r="E17" s="684"/>
      <c r="F17" s="684"/>
      <c r="G17" s="684"/>
      <c r="H17" s="682"/>
      <c r="I17" s="684"/>
      <c r="J17" s="684"/>
      <c r="K17" s="684"/>
      <c r="L17" s="684"/>
    </row>
    <row r="18" spans="1:12" ht="15">
      <c r="A18" s="312">
        <v>8</v>
      </c>
      <c r="B18" s="334" t="s">
        <v>443</v>
      </c>
      <c r="C18" s="692">
        <f>C8/$C$15</f>
        <v>0.41568592386372655</v>
      </c>
      <c r="D18" s="692">
        <v>0.45250870416991784</v>
      </c>
      <c r="E18" s="692">
        <v>0.44687136488410101</v>
      </c>
      <c r="F18" s="692"/>
      <c r="G18" s="692"/>
      <c r="H18" s="681"/>
      <c r="I18" s="692"/>
      <c r="J18" s="692"/>
      <c r="K18" s="692">
        <v>0.37247454437779959</v>
      </c>
      <c r="L18" s="692">
        <v>0.34769996439997919</v>
      </c>
    </row>
    <row r="19" spans="1:12" ht="15" customHeight="1">
      <c r="A19" s="312">
        <v>9</v>
      </c>
      <c r="B19" s="334" t="s">
        <v>442</v>
      </c>
      <c r="C19" s="692">
        <f t="shared" ref="C19:C22" si="1">C9/$C$15</f>
        <v>0.51002337431049427</v>
      </c>
      <c r="D19" s="692">
        <v>0.53762873375419373</v>
      </c>
      <c r="E19" s="692">
        <v>0.53382981515058725</v>
      </c>
      <c r="F19" s="692"/>
      <c r="G19" s="692"/>
      <c r="H19" s="681"/>
      <c r="I19" s="692"/>
      <c r="J19" s="692"/>
      <c r="K19" s="692">
        <v>0.45571983543179312</v>
      </c>
      <c r="L19" s="692">
        <v>0.43603599474081967</v>
      </c>
    </row>
    <row r="20" spans="1:12" ht="15">
      <c r="A20" s="312">
        <v>10</v>
      </c>
      <c r="B20" s="334" t="s">
        <v>444</v>
      </c>
      <c r="C20" s="692">
        <f t="shared" si="1"/>
        <v>0.63396724838569007</v>
      </c>
      <c r="D20" s="692">
        <v>0.64712423642450212</v>
      </c>
      <c r="E20" s="692">
        <v>0.64329927097106299</v>
      </c>
      <c r="F20" s="692"/>
      <c r="G20" s="692"/>
      <c r="H20" s="681"/>
      <c r="I20" s="692"/>
      <c r="J20" s="692"/>
      <c r="K20" s="692">
        <v>0.56705605560027705</v>
      </c>
      <c r="L20" s="692">
        <v>0.56238432509721381</v>
      </c>
    </row>
    <row r="21" spans="1:12" ht="15">
      <c r="A21" s="312">
        <v>11</v>
      </c>
      <c r="B21" s="314" t="s">
        <v>445</v>
      </c>
      <c r="C21" s="692">
        <f t="shared" si="1"/>
        <v>0.21339499575977483</v>
      </c>
      <c r="D21" s="692">
        <v>0.21283194984727719</v>
      </c>
      <c r="E21" s="692">
        <v>0.20142919301391299</v>
      </c>
      <c r="F21" s="692"/>
      <c r="G21" s="692"/>
      <c r="H21" s="681"/>
      <c r="I21" s="692"/>
      <c r="J21" s="692"/>
      <c r="K21" s="692">
        <v>0.10847577199308207</v>
      </c>
      <c r="L21" s="692">
        <v>0.10886057422706844</v>
      </c>
    </row>
    <row r="22" spans="1:12" ht="15">
      <c r="A22" s="312">
        <v>12</v>
      </c>
      <c r="B22" s="314" t="s">
        <v>446</v>
      </c>
      <c r="C22" s="692">
        <f t="shared" si="1"/>
        <v>0.24321340640392683</v>
      </c>
      <c r="D22" s="692">
        <v>0.24253744617521544</v>
      </c>
      <c r="E22" s="692">
        <v>0.23101208686955355</v>
      </c>
      <c r="F22" s="692"/>
      <c r="G22" s="692"/>
      <c r="H22" s="681"/>
      <c r="I22" s="692"/>
      <c r="J22" s="692"/>
      <c r="K22" s="692">
        <v>0.1365300517764492</v>
      </c>
      <c r="L22" s="692">
        <v>0.13704541191125236</v>
      </c>
    </row>
    <row r="23" spans="1:12" ht="15">
      <c r="A23" s="312">
        <v>13</v>
      </c>
      <c r="B23" s="314" t="s">
        <v>447</v>
      </c>
      <c r="C23" s="692">
        <f>C13/$C$15</f>
        <v>0.28271131514623205</v>
      </c>
      <c r="D23" s="692">
        <v>0.28188678344881857</v>
      </c>
      <c r="E23" s="692">
        <v>0.27020010510065962</v>
      </c>
      <c r="F23" s="692"/>
      <c r="G23" s="692"/>
      <c r="H23" s="681"/>
      <c r="I23" s="692"/>
      <c r="J23" s="692"/>
      <c r="K23" s="692">
        <v>0.17370673570193226</v>
      </c>
      <c r="L23" s="692">
        <v>0.17439388254833649</v>
      </c>
    </row>
    <row r="24" spans="1:12" ht="15">
      <c r="A24" s="331"/>
      <c r="B24" s="332" t="s">
        <v>6</v>
      </c>
      <c r="C24" s="686"/>
      <c r="D24" s="686"/>
      <c r="E24" s="686"/>
      <c r="F24" s="686"/>
      <c r="G24" s="686"/>
      <c r="H24" s="681"/>
      <c r="I24" s="686"/>
      <c r="J24" s="686"/>
      <c r="K24" s="686"/>
      <c r="L24" s="686"/>
    </row>
    <row r="25" spans="1:12" ht="15" customHeight="1">
      <c r="A25" s="335">
        <v>14</v>
      </c>
      <c r="B25" s="336" t="s">
        <v>7</v>
      </c>
      <c r="C25" s="693">
        <v>3.8195373702473369E-2</v>
      </c>
      <c r="D25" s="693">
        <v>3.8681533096585681E-2</v>
      </c>
      <c r="E25" s="693">
        <v>4.6241633862009746E-2</v>
      </c>
      <c r="F25" s="693"/>
      <c r="G25" s="693"/>
      <c r="H25" s="681"/>
      <c r="I25" s="693"/>
      <c r="J25" s="693"/>
      <c r="K25" s="693">
        <v>3.4298420495407711E-2</v>
      </c>
      <c r="L25" s="693">
        <v>3.9136048989245276E-2</v>
      </c>
    </row>
    <row r="26" spans="1:12" ht="15">
      <c r="A26" s="335">
        <v>15</v>
      </c>
      <c r="B26" s="336" t="s">
        <v>8</v>
      </c>
      <c r="C26" s="693">
        <v>2.0980598725081227E-2</v>
      </c>
      <c r="D26" s="693">
        <v>2.0416417135360448E-2</v>
      </c>
      <c r="E26" s="693">
        <v>2.1731624257532282E-2</v>
      </c>
      <c r="F26" s="693"/>
      <c r="G26" s="693"/>
      <c r="H26" s="681"/>
      <c r="I26" s="693"/>
      <c r="J26" s="693"/>
      <c r="K26" s="693">
        <v>2.4802328620101656E-2</v>
      </c>
      <c r="L26" s="693">
        <v>2.564962645938243E-2</v>
      </c>
    </row>
    <row r="27" spans="1:12" ht="15">
      <c r="A27" s="335">
        <v>16</v>
      </c>
      <c r="B27" s="336" t="s">
        <v>9</v>
      </c>
      <c r="C27" s="693">
        <v>3.1498846802302825E-2</v>
      </c>
      <c r="D27" s="693">
        <v>3.5689587091770314E-3</v>
      </c>
      <c r="E27" s="693">
        <v>8.2191592824971543E-3</v>
      </c>
      <c r="F27" s="693"/>
      <c r="G27" s="693"/>
      <c r="H27" s="681"/>
      <c r="I27" s="693"/>
      <c r="J27" s="693"/>
      <c r="K27" s="693">
        <v>-2.7285869966374263E-2</v>
      </c>
      <c r="L27" s="693">
        <v>-2.169529067629062E-2</v>
      </c>
    </row>
    <row r="28" spans="1:12" ht="15">
      <c r="A28" s="335">
        <v>17</v>
      </c>
      <c r="B28" s="336" t="s">
        <v>140</v>
      </c>
      <c r="C28" s="693">
        <v>1.7214774977392145E-2</v>
      </c>
      <c r="D28" s="693">
        <v>1.8265115961225233E-2</v>
      </c>
      <c r="E28" s="693">
        <v>2.451000960447746E-2</v>
      </c>
      <c r="F28" s="693"/>
      <c r="G28" s="693"/>
      <c r="H28" s="681"/>
      <c r="I28" s="693"/>
      <c r="J28" s="693"/>
      <c r="K28" s="693">
        <v>9.4960918753060515E-3</v>
      </c>
      <c r="L28" s="693">
        <v>1.3486422529862851E-2</v>
      </c>
    </row>
    <row r="29" spans="1:12" ht="15">
      <c r="A29" s="335">
        <v>18</v>
      </c>
      <c r="B29" s="336" t="s">
        <v>10</v>
      </c>
      <c r="C29" s="693">
        <v>-3.7723320755885741E-2</v>
      </c>
      <c r="D29" s="693">
        <v>4.0758985961543851E-3</v>
      </c>
      <c r="E29" s="693">
        <v>8.1470464237923322E-5</v>
      </c>
      <c r="F29" s="693"/>
      <c r="G29" s="693"/>
      <c r="H29" s="681"/>
      <c r="I29" s="693"/>
      <c r="J29" s="693"/>
      <c r="K29" s="693">
        <v>3.0081747067863306E-3</v>
      </c>
      <c r="L29" s="693">
        <v>7.0825375862007142E-2</v>
      </c>
    </row>
    <row r="30" spans="1:12" ht="15">
      <c r="A30" s="335">
        <v>19</v>
      </c>
      <c r="B30" s="336" t="s">
        <v>11</v>
      </c>
      <c r="C30" s="693">
        <v>-5.3260346493588864E-2</v>
      </c>
      <c r="D30" s="693">
        <v>5.701782569374308E-3</v>
      </c>
      <c r="E30" s="693">
        <v>1.1608460485498054E-4</v>
      </c>
      <c r="F30" s="693"/>
      <c r="G30" s="693"/>
      <c r="H30" s="681"/>
      <c r="I30" s="693"/>
      <c r="J30" s="693"/>
      <c r="K30" s="693">
        <v>4.545345583083853E-3</v>
      </c>
      <c r="L30" s="693">
        <v>0.10929745020189671</v>
      </c>
    </row>
    <row r="31" spans="1:12" ht="15">
      <c r="A31" s="331"/>
      <c r="B31" s="332" t="s">
        <v>12</v>
      </c>
      <c r="C31" s="686"/>
      <c r="D31" s="686"/>
      <c r="E31" s="686"/>
      <c r="F31" s="686"/>
      <c r="G31" s="686"/>
      <c r="H31" s="681"/>
      <c r="I31" s="686"/>
      <c r="J31" s="686"/>
      <c r="K31" s="686"/>
      <c r="L31" s="686"/>
    </row>
    <row r="32" spans="1:12" ht="15">
      <c r="A32" s="335">
        <v>20</v>
      </c>
      <c r="B32" s="336" t="s">
        <v>13</v>
      </c>
      <c r="C32" s="693">
        <v>0.4763152265256273</v>
      </c>
      <c r="D32" s="693">
        <v>0.27112451671875198</v>
      </c>
      <c r="E32" s="693">
        <v>0.27366792338315526</v>
      </c>
      <c r="F32" s="693"/>
      <c r="G32" s="693"/>
      <c r="H32" s="681"/>
      <c r="I32" s="693"/>
      <c r="J32" s="693"/>
      <c r="K32" s="693">
        <v>0.24436036975216371</v>
      </c>
      <c r="L32" s="693">
        <v>0.17969019722728147</v>
      </c>
    </row>
    <row r="33" spans="1:12" ht="15" customHeight="1">
      <c r="A33" s="335">
        <v>21</v>
      </c>
      <c r="B33" s="336" t="s">
        <v>958</v>
      </c>
      <c r="C33" s="693">
        <v>7.7283199429053415E-2</v>
      </c>
      <c r="D33" s="693">
        <v>6.9796117162092372E-2</v>
      </c>
      <c r="E33" s="693">
        <v>7.0654042654676313E-2</v>
      </c>
      <c r="F33" s="693"/>
      <c r="G33" s="693"/>
      <c r="H33" s="681"/>
      <c r="I33" s="693"/>
      <c r="J33" s="693"/>
      <c r="K33" s="693">
        <v>0.11923139489189029</v>
      </c>
      <c r="L33" s="693">
        <v>9.5221268061290443E-2</v>
      </c>
    </row>
    <row r="34" spans="1:12" ht="15">
      <c r="A34" s="335">
        <v>22</v>
      </c>
      <c r="B34" s="336" t="s">
        <v>14</v>
      </c>
      <c r="C34" s="693">
        <v>0.60762270924449058</v>
      </c>
      <c r="D34" s="693">
        <v>0.59750860214073431</v>
      </c>
      <c r="E34" s="693">
        <v>0.59500742654462468</v>
      </c>
      <c r="F34" s="693"/>
      <c r="G34" s="693"/>
      <c r="H34" s="681"/>
      <c r="I34" s="693"/>
      <c r="J34" s="693"/>
      <c r="K34" s="693">
        <v>0.57138100843410145</v>
      </c>
      <c r="L34" s="693">
        <v>0.56554904296970487</v>
      </c>
    </row>
    <row r="35" spans="1:12" ht="15" customHeight="1">
      <c r="A35" s="335">
        <v>23</v>
      </c>
      <c r="B35" s="336" t="s">
        <v>15</v>
      </c>
      <c r="C35" s="693">
        <v>0.43284324486207082</v>
      </c>
      <c r="D35" s="693">
        <v>0.4180559286617066</v>
      </c>
      <c r="E35" s="693">
        <v>0.41614500534261689</v>
      </c>
      <c r="F35" s="693"/>
      <c r="G35" s="693"/>
      <c r="H35" s="681"/>
      <c r="I35" s="693"/>
      <c r="J35" s="693"/>
      <c r="K35" s="693">
        <v>0.43531228825262114</v>
      </c>
      <c r="L35" s="693">
        <v>0.40942069943244158</v>
      </c>
    </row>
    <row r="36" spans="1:12" ht="15">
      <c r="A36" s="335">
        <v>24</v>
      </c>
      <c r="B36" s="336" t="s">
        <v>16</v>
      </c>
      <c r="C36" s="693">
        <v>4.4038192866709619E-3</v>
      </c>
      <c r="D36" s="693">
        <v>-1.6822288755374504E-2</v>
      </c>
      <c r="E36" s="693">
        <v>-0.20973774215393315</v>
      </c>
      <c r="F36" s="693"/>
      <c r="G36" s="693"/>
      <c r="H36" s="681"/>
      <c r="I36" s="693"/>
      <c r="J36" s="693"/>
      <c r="K36" s="693">
        <v>-0.22043031646959352</v>
      </c>
      <c r="L36" s="693">
        <v>-0.2003711101024041</v>
      </c>
    </row>
    <row r="37" spans="1:12" ht="15" customHeight="1">
      <c r="A37" s="331"/>
      <c r="B37" s="332" t="s">
        <v>17</v>
      </c>
      <c r="C37" s="686"/>
      <c r="D37" s="686"/>
      <c r="E37" s="686"/>
      <c r="F37" s="686"/>
      <c r="G37" s="686"/>
      <c r="H37" s="681"/>
      <c r="I37" s="686"/>
      <c r="J37" s="686"/>
      <c r="K37" s="686"/>
      <c r="L37" s="686"/>
    </row>
    <row r="38" spans="1:12" ht="15" customHeight="1">
      <c r="A38" s="335">
        <v>25</v>
      </c>
      <c r="B38" s="336" t="s">
        <v>18</v>
      </c>
      <c r="C38" s="693">
        <v>0.3274314287271935</v>
      </c>
      <c r="D38" s="693">
        <v>0.32828755971221607</v>
      </c>
      <c r="E38" s="693">
        <v>0.31676400967057627</v>
      </c>
      <c r="F38" s="693"/>
      <c r="G38" s="693"/>
      <c r="H38" s="681"/>
      <c r="I38" s="693"/>
      <c r="J38" s="693"/>
      <c r="K38" s="693">
        <v>0.34779090227790938</v>
      </c>
      <c r="L38" s="693">
        <v>0.32951991649475171</v>
      </c>
    </row>
    <row r="39" spans="1:12" ht="15" customHeight="1">
      <c r="A39" s="335">
        <v>26</v>
      </c>
      <c r="B39" s="336" t="s">
        <v>19</v>
      </c>
      <c r="C39" s="693">
        <v>0.87738219486866365</v>
      </c>
      <c r="D39" s="693">
        <v>0.8603752423587433</v>
      </c>
      <c r="E39" s="693">
        <v>0.86105729834233424</v>
      </c>
      <c r="F39" s="693"/>
      <c r="G39" s="693"/>
      <c r="H39" s="681"/>
      <c r="I39" s="693"/>
      <c r="J39" s="693"/>
      <c r="K39" s="693">
        <v>0.83123734841034058</v>
      </c>
      <c r="L39" s="693">
        <v>0.82901225411972035</v>
      </c>
    </row>
    <row r="40" spans="1:12" ht="15" customHeight="1">
      <c r="A40" s="335">
        <v>27</v>
      </c>
      <c r="B40" s="337" t="s">
        <v>20</v>
      </c>
      <c r="C40" s="693">
        <v>2.9487076829897204E-2</v>
      </c>
      <c r="D40" s="693">
        <v>3.007165084446951E-2</v>
      </c>
      <c r="E40" s="693">
        <v>2.9832046425597312E-2</v>
      </c>
      <c r="F40" s="693"/>
      <c r="G40" s="693"/>
      <c r="H40" s="681"/>
      <c r="I40" s="693"/>
      <c r="J40" s="693"/>
      <c r="K40" s="693">
        <v>4.1097076542233629E-2</v>
      </c>
      <c r="L40" s="693">
        <v>4.3906736744275754E-2</v>
      </c>
    </row>
    <row r="41" spans="1:12" ht="15" customHeight="1">
      <c r="A41" s="338"/>
      <c r="B41" s="332" t="s">
        <v>356</v>
      </c>
      <c r="C41" s="686"/>
      <c r="D41" s="686"/>
      <c r="E41" s="686"/>
      <c r="F41" s="686"/>
      <c r="G41" s="686"/>
      <c r="H41" s="681"/>
      <c r="I41" s="686"/>
      <c r="J41" s="686"/>
      <c r="K41" s="686"/>
      <c r="L41" s="686"/>
    </row>
    <row r="42" spans="1:12" ht="15" customHeight="1">
      <c r="A42" s="335">
        <v>28</v>
      </c>
      <c r="B42" s="376" t="s">
        <v>340</v>
      </c>
      <c r="C42" s="694">
        <v>153604027.46289998</v>
      </c>
      <c r="D42" s="694">
        <v>149026336.69</v>
      </c>
      <c r="E42" s="694">
        <v>144171681.20429999</v>
      </c>
      <c r="F42" s="694"/>
      <c r="G42" s="694"/>
      <c r="H42" s="681"/>
      <c r="I42" s="694"/>
      <c r="J42" s="694"/>
      <c r="K42" s="694">
        <v>137662621.34759998</v>
      </c>
      <c r="L42" s="694">
        <v>134371369.78870001</v>
      </c>
    </row>
    <row r="43" spans="1:12" ht="15">
      <c r="A43" s="335">
        <v>29</v>
      </c>
      <c r="B43" s="336" t="s">
        <v>341</v>
      </c>
      <c r="C43" s="694">
        <v>20478587.869728357</v>
      </c>
      <c r="D43" s="694">
        <v>22711496.467702851</v>
      </c>
      <c r="E43" s="694">
        <v>22832231.128789958</v>
      </c>
      <c r="F43" s="694"/>
      <c r="G43" s="694"/>
      <c r="H43" s="681"/>
      <c r="I43" s="694"/>
      <c r="J43" s="694"/>
      <c r="K43" s="694">
        <v>30592189.450344253</v>
      </c>
      <c r="L43" s="694">
        <v>33342737.175284494</v>
      </c>
    </row>
    <row r="44" spans="1:12" ht="15">
      <c r="A44" s="374">
        <v>30</v>
      </c>
      <c r="B44" s="375" t="s">
        <v>339</v>
      </c>
      <c r="C44" s="693">
        <v>7.5007138402330424</v>
      </c>
      <c r="D44" s="693">
        <v>6.5617136634710373</v>
      </c>
      <c r="E44" s="693">
        <v>6.3143930346127615</v>
      </c>
      <c r="F44" s="693"/>
      <c r="G44" s="693"/>
      <c r="H44" s="681"/>
      <c r="I44" s="693"/>
      <c r="J44" s="693"/>
      <c r="K44" s="693">
        <v>4.4999270670393576</v>
      </c>
      <c r="L44" s="693">
        <v>4.0300041679932503</v>
      </c>
    </row>
    <row r="45" spans="1:12" ht="15">
      <c r="A45" s="374"/>
      <c r="B45" s="332" t="s">
        <v>453</v>
      </c>
      <c r="C45" s="686"/>
      <c r="D45" s="686"/>
      <c r="E45" s="686"/>
      <c r="F45" s="686"/>
      <c r="G45" s="686"/>
      <c r="H45" s="681"/>
      <c r="I45" s="686"/>
      <c r="J45" s="686"/>
      <c r="K45" s="686"/>
      <c r="L45" s="686"/>
    </row>
    <row r="46" spans="1:12" ht="15">
      <c r="A46" s="374">
        <v>31</v>
      </c>
      <c r="B46" s="375" t="s">
        <v>460</v>
      </c>
      <c r="C46" s="689">
        <v>423963656.05232698</v>
      </c>
      <c r="D46" s="689">
        <v>417625095.31626904</v>
      </c>
      <c r="E46" s="689">
        <v>419370124.83249998</v>
      </c>
      <c r="F46" s="689"/>
      <c r="G46" s="689"/>
      <c r="H46" s="681"/>
      <c r="I46" s="689"/>
      <c r="J46" s="689"/>
      <c r="K46" s="689">
        <v>341912507.95999998</v>
      </c>
      <c r="L46" s="689">
        <v>348163384.24154007</v>
      </c>
    </row>
    <row r="47" spans="1:12" ht="15">
      <c r="A47" s="374">
        <v>32</v>
      </c>
      <c r="B47" s="375" t="s">
        <v>473</v>
      </c>
      <c r="C47" s="689">
        <v>274656241.39402753</v>
      </c>
      <c r="D47" s="689">
        <v>274073874.14183408</v>
      </c>
      <c r="E47" s="689">
        <v>276107215.12015742</v>
      </c>
      <c r="F47" s="689"/>
      <c r="G47" s="689"/>
      <c r="H47" s="681"/>
      <c r="I47" s="689"/>
      <c r="J47" s="689"/>
      <c r="K47" s="689">
        <v>195808685.04223257</v>
      </c>
      <c r="L47" s="689">
        <v>206747554.41234326</v>
      </c>
    </row>
    <row r="48" spans="1:12" thickBot="1">
      <c r="A48" s="83">
        <v>33</v>
      </c>
      <c r="B48" s="172" t="s">
        <v>487</v>
      </c>
      <c r="C48" s="704">
        <v>1.5436155898023083</v>
      </c>
      <c r="D48" s="704">
        <v>1.5237683512298101</v>
      </c>
      <c r="E48" s="704">
        <v>1.5188669540924413</v>
      </c>
      <c r="F48" s="705"/>
      <c r="G48" s="705"/>
      <c r="H48" s="681"/>
      <c r="I48" s="704"/>
      <c r="J48" s="704"/>
      <c r="K48" s="704">
        <v>1.7461559883631073</v>
      </c>
      <c r="L48" s="705">
        <v>1.6840024310379653</v>
      </c>
    </row>
    <row r="49" spans="1:12">
      <c r="A49" s="20"/>
      <c r="C49" s="680"/>
      <c r="D49" s="680"/>
      <c r="E49" s="680"/>
      <c r="F49" s="680"/>
      <c r="G49" s="680"/>
      <c r="H49" s="679"/>
      <c r="I49" s="679"/>
      <c r="J49" s="679"/>
      <c r="K49" s="679"/>
      <c r="L49" s="679"/>
    </row>
    <row r="50" spans="1:12" ht="39.75">
      <c r="B50" s="23" t="s">
        <v>945</v>
      </c>
      <c r="C50" s="680"/>
      <c r="D50" s="680"/>
      <c r="E50" s="680"/>
      <c r="F50" s="680"/>
      <c r="G50" s="680"/>
      <c r="H50" s="679"/>
      <c r="I50" s="679"/>
      <c r="J50" s="679"/>
      <c r="K50" s="679"/>
      <c r="L50" s="679"/>
    </row>
    <row r="51" spans="1:12" ht="65.25">
      <c r="B51" s="248" t="s">
        <v>355</v>
      </c>
      <c r="C51" s="679"/>
      <c r="D51" s="680"/>
      <c r="E51" s="680"/>
      <c r="F51" s="680"/>
      <c r="G51" s="680"/>
      <c r="H51" s="679"/>
      <c r="I51" s="679"/>
      <c r="J51" s="679"/>
      <c r="K51" s="679"/>
      <c r="L51" s="679"/>
    </row>
    <row r="52" spans="1:12">
      <c r="C52" s="679"/>
      <c r="D52" s="680"/>
      <c r="E52" s="680"/>
      <c r="F52" s="680"/>
      <c r="G52" s="680"/>
      <c r="H52" s="681"/>
      <c r="I52" s="681"/>
      <c r="J52" s="681"/>
      <c r="K52" s="681"/>
      <c r="L52" s="681"/>
    </row>
    <row r="53" spans="1:12">
      <c r="C53" s="679"/>
      <c r="D53" s="680"/>
      <c r="E53" s="680"/>
      <c r="F53" s="680"/>
      <c r="G53" s="680"/>
      <c r="H53" s="679"/>
      <c r="I53" s="679"/>
      <c r="J53" s="679"/>
      <c r="K53" s="679"/>
      <c r="L53" s="679"/>
    </row>
    <row r="54" spans="1:12">
      <c r="C54" s="679"/>
      <c r="D54" s="680"/>
      <c r="E54" s="680"/>
      <c r="F54" s="680"/>
      <c r="G54" s="680"/>
      <c r="H54" s="681"/>
      <c r="I54" s="681"/>
      <c r="J54" s="681"/>
      <c r="K54" s="681"/>
      <c r="L54" s="681"/>
    </row>
    <row r="55" spans="1:12">
      <c r="C55" s="679"/>
      <c r="D55" s="680"/>
      <c r="E55" s="680"/>
      <c r="F55" s="680"/>
      <c r="G55" s="680"/>
      <c r="H55" s="681"/>
      <c r="I55" s="681"/>
      <c r="J55" s="681"/>
      <c r="K55" s="681"/>
      <c r="L55" s="681"/>
    </row>
    <row r="56" spans="1:12">
      <c r="C56" s="679"/>
      <c r="D56" s="680"/>
      <c r="E56" s="680"/>
      <c r="F56" s="680"/>
      <c r="G56" s="680"/>
      <c r="H56" s="681"/>
      <c r="I56" s="681"/>
      <c r="J56" s="681"/>
      <c r="K56" s="681"/>
      <c r="L56" s="681"/>
    </row>
    <row r="57" spans="1:12">
      <c r="C57" s="679"/>
      <c r="D57" s="680"/>
      <c r="E57" s="680"/>
      <c r="F57" s="680"/>
      <c r="G57" s="680"/>
      <c r="H57" s="681"/>
      <c r="I57" s="681"/>
      <c r="J57" s="681"/>
      <c r="K57" s="681"/>
      <c r="L57" s="681"/>
    </row>
    <row r="58" spans="1:12">
      <c r="C58" s="679"/>
      <c r="D58" s="680"/>
      <c r="E58" s="680"/>
      <c r="F58" s="680"/>
      <c r="G58" s="680"/>
      <c r="H58" s="681"/>
      <c r="I58" s="681"/>
      <c r="J58" s="681"/>
      <c r="K58" s="681"/>
      <c r="L58" s="681"/>
    </row>
    <row r="59" spans="1:12">
      <c r="C59" s="679"/>
      <c r="D59" s="680"/>
      <c r="E59" s="680"/>
      <c r="F59" s="680"/>
      <c r="G59" s="680"/>
      <c r="H59" s="681"/>
      <c r="I59" s="681"/>
      <c r="J59" s="681"/>
      <c r="K59" s="681"/>
      <c r="L59" s="681"/>
    </row>
    <row r="60" spans="1:12">
      <c r="C60" s="679"/>
      <c r="D60" s="680"/>
      <c r="E60" s="680"/>
      <c r="F60" s="680"/>
      <c r="G60" s="680"/>
      <c r="H60" s="681"/>
      <c r="I60" s="681"/>
      <c r="J60" s="681"/>
      <c r="K60" s="681"/>
      <c r="L60" s="681"/>
    </row>
    <row r="61" spans="1:12">
      <c r="C61" s="679"/>
      <c r="D61" s="680"/>
      <c r="E61" s="680"/>
      <c r="F61" s="680"/>
      <c r="G61" s="680"/>
      <c r="H61" s="681"/>
      <c r="I61" s="681"/>
      <c r="J61" s="681"/>
      <c r="K61" s="681"/>
      <c r="L61" s="681"/>
    </row>
    <row r="62" spans="1:12">
      <c r="C62" s="679"/>
      <c r="D62" s="680"/>
      <c r="E62" s="680"/>
      <c r="F62" s="680"/>
      <c r="G62" s="680"/>
      <c r="H62" s="681"/>
      <c r="I62" s="681"/>
      <c r="J62" s="681"/>
      <c r="K62" s="681"/>
      <c r="L62" s="681"/>
    </row>
    <row r="63" spans="1:12">
      <c r="C63" s="679"/>
      <c r="D63" s="680"/>
      <c r="E63" s="680"/>
      <c r="F63" s="680"/>
      <c r="G63" s="680"/>
      <c r="H63" s="681"/>
      <c r="I63" s="681"/>
      <c r="J63" s="681"/>
      <c r="K63" s="681"/>
      <c r="L63" s="681"/>
    </row>
    <row r="64" spans="1:12">
      <c r="C64" s="679"/>
      <c r="D64" s="680"/>
      <c r="E64" s="680"/>
      <c r="F64" s="680"/>
      <c r="G64" s="680"/>
      <c r="H64" s="681"/>
      <c r="I64" s="681"/>
      <c r="J64" s="681"/>
      <c r="K64" s="681"/>
      <c r="L64" s="681"/>
    </row>
    <row r="65" spans="3:12">
      <c r="C65" s="679"/>
      <c r="D65" s="680"/>
      <c r="E65" s="680"/>
      <c r="F65" s="680"/>
      <c r="G65" s="680"/>
      <c r="H65" s="681"/>
      <c r="I65" s="681"/>
      <c r="J65" s="681"/>
      <c r="K65" s="681"/>
      <c r="L65" s="681"/>
    </row>
    <row r="66" spans="3:12">
      <c r="C66" s="679"/>
      <c r="D66" s="680"/>
      <c r="E66" s="680"/>
      <c r="F66" s="680"/>
      <c r="G66" s="680"/>
      <c r="H66" s="681"/>
      <c r="I66" s="681"/>
      <c r="J66" s="681"/>
      <c r="K66" s="681"/>
      <c r="L66" s="681"/>
    </row>
    <row r="67" spans="3:12">
      <c r="C67" s="679"/>
      <c r="D67" s="680"/>
      <c r="E67" s="680"/>
      <c r="F67" s="680"/>
      <c r="G67" s="680"/>
      <c r="H67" s="681"/>
      <c r="I67" s="681"/>
      <c r="J67" s="681"/>
      <c r="K67" s="681"/>
      <c r="L67" s="681"/>
    </row>
    <row r="68" spans="3:12">
      <c r="C68" s="679"/>
      <c r="D68" s="680"/>
      <c r="E68" s="680"/>
      <c r="F68" s="680"/>
      <c r="G68" s="680"/>
      <c r="H68" s="681"/>
      <c r="I68" s="681"/>
      <c r="J68" s="681"/>
      <c r="K68" s="681"/>
      <c r="L68" s="681"/>
    </row>
    <row r="69" spans="3:12">
      <c r="C69" s="679"/>
      <c r="D69" s="680"/>
      <c r="E69" s="680"/>
      <c r="F69" s="680"/>
      <c r="G69" s="680"/>
      <c r="H69" s="681"/>
      <c r="I69" s="681"/>
      <c r="J69" s="681"/>
      <c r="K69" s="681"/>
      <c r="L69" s="681"/>
    </row>
    <row r="70" spans="3:12">
      <c r="C70" s="679"/>
      <c r="D70" s="680"/>
      <c r="E70" s="680"/>
      <c r="F70" s="680"/>
      <c r="G70" s="680"/>
      <c r="H70" s="681"/>
      <c r="I70" s="681"/>
      <c r="J70" s="681"/>
      <c r="K70" s="681"/>
      <c r="L70" s="681"/>
    </row>
    <row r="71" spans="3:12">
      <c r="C71" s="679"/>
      <c r="D71" s="680"/>
      <c r="E71" s="680"/>
      <c r="F71" s="680"/>
      <c r="G71" s="680"/>
      <c r="H71" s="681"/>
      <c r="I71" s="681"/>
      <c r="J71" s="681"/>
      <c r="K71" s="681"/>
      <c r="L71" s="681"/>
    </row>
  </sheetData>
  <mergeCells count="2">
    <mergeCell ref="D4:G4"/>
    <mergeCell ref="K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G21"/>
    </sheetView>
  </sheetViews>
  <sheetFormatPr defaultColWidth="9.28515625" defaultRowHeight="12.75"/>
  <cols>
    <col min="1" max="1" width="11.7109375" style="382" bestFit="1" customWidth="1"/>
    <col min="2" max="2" width="105.28515625" style="382" bestFit="1" customWidth="1"/>
    <col min="3" max="3" width="15.28515625" style="687" bestFit="1" customWidth="1"/>
    <col min="4" max="4" width="14.28515625" style="687" bestFit="1" customWidth="1"/>
    <col min="5" max="5" width="17.5703125" style="687" bestFit="1" customWidth="1"/>
    <col min="6" max="6" width="14.28515625" style="687" bestFit="1" customWidth="1"/>
    <col min="7" max="7" width="30.42578125" style="687" customWidth="1"/>
    <col min="8" max="8" width="15.140625" style="687" bestFit="1" customWidth="1"/>
    <col min="9" max="9" width="9.85546875" style="382" bestFit="1" customWidth="1"/>
    <col min="10" max="16384" width="9.28515625" style="382"/>
  </cols>
  <sheetData>
    <row r="1" spans="1:9" ht="13.5">
      <c r="A1" s="381" t="s">
        <v>108</v>
      </c>
      <c r="B1" s="308" t="str">
        <f>Info!C2</f>
        <v>JSC "VTB Bank (Georgia)"</v>
      </c>
    </row>
    <row r="2" spans="1:9">
      <c r="A2" s="383" t="s">
        <v>109</v>
      </c>
      <c r="B2" s="385">
        <f>Info!D2</f>
        <v>45473</v>
      </c>
    </row>
    <row r="3" spans="1:9">
      <c r="A3" s="384" t="s">
        <v>493</v>
      </c>
    </row>
    <row r="5" spans="1:9">
      <c r="A5" s="867" t="s">
        <v>494</v>
      </c>
      <c r="B5" s="868"/>
      <c r="C5" s="873" t="s">
        <v>495</v>
      </c>
      <c r="D5" s="874"/>
      <c r="E5" s="874"/>
      <c r="F5" s="874"/>
      <c r="G5" s="874"/>
      <c r="H5" s="875"/>
    </row>
    <row r="6" spans="1:9">
      <c r="A6" s="869"/>
      <c r="B6" s="870"/>
      <c r="C6" s="876"/>
      <c r="D6" s="877"/>
      <c r="E6" s="877"/>
      <c r="F6" s="877"/>
      <c r="G6" s="877"/>
      <c r="H6" s="878"/>
    </row>
    <row r="7" spans="1:9" ht="25.5">
      <c r="A7" s="871"/>
      <c r="B7" s="872"/>
      <c r="C7" s="631" t="s">
        <v>496</v>
      </c>
      <c r="D7" s="631" t="s">
        <v>497</v>
      </c>
      <c r="E7" s="631" t="s">
        <v>498</v>
      </c>
      <c r="F7" s="631" t="s">
        <v>499</v>
      </c>
      <c r="G7" s="630" t="s">
        <v>679</v>
      </c>
      <c r="H7" s="631" t="s">
        <v>66</v>
      </c>
    </row>
    <row r="8" spans="1:9">
      <c r="A8" s="479">
        <v>1</v>
      </c>
      <c r="B8" s="478" t="s">
        <v>134</v>
      </c>
      <c r="C8" s="723">
        <v>351</v>
      </c>
      <c r="D8" s="723">
        <v>0.36000000000001364</v>
      </c>
      <c r="E8" s="723">
        <v>0</v>
      </c>
      <c r="F8" s="723">
        <v>0</v>
      </c>
      <c r="G8" s="723"/>
      <c r="H8" s="633">
        <f t="shared" ref="H8:H20" si="0">SUM(C8:G8)</f>
        <v>351.36</v>
      </c>
    </row>
    <row r="9" spans="1:9">
      <c r="A9" s="479">
        <v>2</v>
      </c>
      <c r="B9" s="478" t="s">
        <v>135</v>
      </c>
      <c r="C9" s="723"/>
      <c r="D9" s="723"/>
      <c r="E9" s="723"/>
      <c r="F9" s="723"/>
      <c r="G9" s="723"/>
      <c r="H9" s="633">
        <f t="shared" si="0"/>
        <v>0</v>
      </c>
    </row>
    <row r="10" spans="1:9">
      <c r="A10" s="479">
        <v>3</v>
      </c>
      <c r="B10" s="478" t="s">
        <v>136</v>
      </c>
      <c r="C10" s="723"/>
      <c r="D10" s="723"/>
      <c r="E10" s="723"/>
      <c r="F10" s="723"/>
      <c r="G10" s="723"/>
      <c r="H10" s="633">
        <f t="shared" si="0"/>
        <v>0</v>
      </c>
    </row>
    <row r="11" spans="1:9">
      <c r="A11" s="479">
        <v>4</v>
      </c>
      <c r="B11" s="478" t="s">
        <v>137</v>
      </c>
      <c r="C11" s="723"/>
      <c r="D11" s="723"/>
      <c r="E11" s="723"/>
      <c r="F11" s="723"/>
      <c r="G11" s="723"/>
      <c r="H11" s="633">
        <f t="shared" si="0"/>
        <v>0</v>
      </c>
    </row>
    <row r="12" spans="1:9">
      <c r="A12" s="479">
        <v>5</v>
      </c>
      <c r="B12" s="478" t="s">
        <v>949</v>
      </c>
      <c r="C12" s="723"/>
      <c r="D12" s="723"/>
      <c r="E12" s="723"/>
      <c r="F12" s="723"/>
      <c r="G12" s="723"/>
      <c r="H12" s="633">
        <f t="shared" si="0"/>
        <v>0</v>
      </c>
    </row>
    <row r="13" spans="1:9">
      <c r="A13" s="479">
        <v>6</v>
      </c>
      <c r="B13" s="478" t="s">
        <v>138</v>
      </c>
      <c r="C13" s="723">
        <v>6760808</v>
      </c>
      <c r="D13" s="723">
        <v>119570.879</v>
      </c>
      <c r="E13" s="723">
        <v>0</v>
      </c>
      <c r="F13" s="723">
        <v>0</v>
      </c>
      <c r="G13" s="723"/>
      <c r="H13" s="633">
        <f t="shared" si="0"/>
        <v>6880378.8789999997</v>
      </c>
      <c r="I13" s="664">
        <f>H13-'[4]Risk Weighted Risk Exposures'!$G$29</f>
        <v>-0.12099999748170376</v>
      </c>
    </row>
    <row r="14" spans="1:9">
      <c r="A14" s="479">
        <v>7</v>
      </c>
      <c r="B14" s="478" t="s">
        <v>71</v>
      </c>
      <c r="C14" s="723">
        <v>0</v>
      </c>
      <c r="D14" s="723">
        <v>22064874.010899998</v>
      </c>
      <c r="E14" s="723">
        <v>101008661</v>
      </c>
      <c r="F14" s="723">
        <v>34089732.511299998</v>
      </c>
      <c r="G14" s="723">
        <v>30991632.869199999</v>
      </c>
      <c r="H14" s="633">
        <f t="shared" si="0"/>
        <v>188154900.39139998</v>
      </c>
      <c r="I14" s="664">
        <f>H14-'[4]Risk Weighted Risk Exposures'!$G$30-H17</f>
        <v>1.2019887566566467E-2</v>
      </c>
    </row>
    <row r="15" spans="1:9">
      <c r="A15" s="479">
        <v>8</v>
      </c>
      <c r="B15" s="480" t="s">
        <v>72</v>
      </c>
      <c r="C15" s="723">
        <v>0</v>
      </c>
      <c r="D15" s="723">
        <v>0</v>
      </c>
      <c r="E15" s="723">
        <v>0</v>
      </c>
      <c r="F15" s="723">
        <v>0</v>
      </c>
      <c r="G15" s="723">
        <v>0</v>
      </c>
      <c r="H15" s="633">
        <f t="shared" si="0"/>
        <v>0</v>
      </c>
    </row>
    <row r="16" spans="1:9">
      <c r="A16" s="479">
        <v>9</v>
      </c>
      <c r="B16" s="478" t="s">
        <v>950</v>
      </c>
      <c r="C16" s="723">
        <v>0</v>
      </c>
      <c r="D16" s="723">
        <v>34485.693899999998</v>
      </c>
      <c r="E16" s="723">
        <v>1597115.5456999999</v>
      </c>
      <c r="F16" s="723">
        <v>5218848.8819000004</v>
      </c>
      <c r="G16" s="723">
        <v>0</v>
      </c>
      <c r="H16" s="633">
        <f t="shared" si="0"/>
        <v>6850450.1215000004</v>
      </c>
      <c r="I16" s="664">
        <f>H16-'[4]Risk Weighted Risk Exposures'!$G$34</f>
        <v>-0.19375474005937576</v>
      </c>
    </row>
    <row r="17" spans="1:9">
      <c r="A17" s="479">
        <v>10</v>
      </c>
      <c r="B17" s="482" t="s">
        <v>514</v>
      </c>
      <c r="C17" s="723">
        <v>0</v>
      </c>
      <c r="D17" s="723">
        <v>4729975.6029000003</v>
      </c>
      <c r="E17" s="723">
        <v>26053578</v>
      </c>
      <c r="F17" s="723">
        <v>4998678.3150000004</v>
      </c>
      <c r="G17" s="723">
        <v>26476406.279199999</v>
      </c>
      <c r="H17" s="633">
        <f t="shared" si="0"/>
        <v>62258638.197099999</v>
      </c>
      <c r="I17" s="664">
        <f>H17-'[4]Risk Weighted Risk Exposures'!$G$35</f>
        <v>-0.49831028282642365</v>
      </c>
    </row>
    <row r="18" spans="1:9">
      <c r="A18" s="479">
        <v>11</v>
      </c>
      <c r="B18" s="478" t="s">
        <v>68</v>
      </c>
      <c r="C18" s="723">
        <v>0</v>
      </c>
      <c r="D18" s="723">
        <v>0</v>
      </c>
      <c r="E18" s="723">
        <v>0</v>
      </c>
      <c r="F18" s="723">
        <v>0</v>
      </c>
      <c r="G18" s="723">
        <v>0</v>
      </c>
      <c r="H18" s="633">
        <f t="shared" si="0"/>
        <v>0</v>
      </c>
    </row>
    <row r="19" spans="1:9">
      <c r="A19" s="479">
        <v>12</v>
      </c>
      <c r="B19" s="478" t="s">
        <v>69</v>
      </c>
      <c r="C19" s="723"/>
      <c r="D19" s="723"/>
      <c r="E19" s="723"/>
      <c r="F19" s="723"/>
      <c r="G19" s="723"/>
      <c r="H19" s="633">
        <f t="shared" si="0"/>
        <v>0</v>
      </c>
    </row>
    <row r="20" spans="1:9">
      <c r="A20" s="481">
        <v>13</v>
      </c>
      <c r="B20" s="480" t="s">
        <v>70</v>
      </c>
      <c r="C20" s="723"/>
      <c r="D20" s="723"/>
      <c r="E20" s="723"/>
      <c r="F20" s="723"/>
      <c r="G20" s="723"/>
      <c r="H20" s="633">
        <f t="shared" si="0"/>
        <v>0</v>
      </c>
    </row>
    <row r="21" spans="1:9">
      <c r="A21" s="479">
        <v>14</v>
      </c>
      <c r="B21" s="478" t="s">
        <v>500</v>
      </c>
      <c r="C21" s="723">
        <v>156119934</v>
      </c>
      <c r="D21" s="723">
        <v>16239652.099312639</v>
      </c>
      <c r="E21" s="723">
        <v>3186687.7324000001</v>
      </c>
      <c r="F21" s="723">
        <v>0</v>
      </c>
      <c r="G21" s="723">
        <v>83916542</v>
      </c>
      <c r="H21" s="633">
        <f>SUM(C21:G21)</f>
        <v>259462815.83171263</v>
      </c>
      <c r="I21" s="664">
        <f>H21-'[4]Risk Weighted Risk Exposures'!$G$39</f>
        <v>0.16341260075569153</v>
      </c>
    </row>
    <row r="22" spans="1:9">
      <c r="A22" s="477">
        <v>15</v>
      </c>
      <c r="B22" s="476" t="s">
        <v>66</v>
      </c>
      <c r="C22" s="633">
        <f>SUM(C18:C21)+SUM(C8:C16)</f>
        <v>162881093</v>
      </c>
      <c r="D22" s="633">
        <f t="shared" ref="D22:H22" si="1">SUM(D18:D21)+SUM(D8:D16)</f>
        <v>38458583.043112636</v>
      </c>
      <c r="E22" s="633">
        <f t="shared" si="1"/>
        <v>105792464.2781</v>
      </c>
      <c r="F22" s="633">
        <f t="shared" si="1"/>
        <v>39308581.393199995</v>
      </c>
      <c r="G22" s="633">
        <f t="shared" si="1"/>
        <v>114908174.86919999</v>
      </c>
      <c r="H22" s="633">
        <f t="shared" si="1"/>
        <v>461348896.58361256</v>
      </c>
    </row>
    <row r="23" spans="1:9">
      <c r="H23" s="687">
        <f>H22-'13. CRME'!C22</f>
        <v>-0.27763259410858154</v>
      </c>
    </row>
    <row r="26" spans="1:9" ht="38.25">
      <c r="B26" s="402"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topLeftCell="A4" zoomScale="85" zoomScaleNormal="85" workbookViewId="0">
      <selection activeCell="E22" sqref="E22"/>
    </sheetView>
  </sheetViews>
  <sheetFormatPr defaultColWidth="9.28515625" defaultRowHeight="12.75"/>
  <cols>
    <col min="1" max="1" width="11.7109375" style="386" bestFit="1" customWidth="1"/>
    <col min="2" max="2" width="86.7109375" style="382" customWidth="1"/>
    <col min="3" max="4" width="31.5703125" style="382" customWidth="1"/>
    <col min="5" max="5" width="16.42578125" style="388" bestFit="1" customWidth="1"/>
    <col min="6" max="6" width="14.28515625" style="388" bestFit="1" customWidth="1"/>
    <col min="7" max="7" width="20" style="382" bestFit="1" customWidth="1"/>
    <col min="8" max="8" width="23.7109375" style="382" customWidth="1"/>
    <col min="9" max="9" width="11.42578125" style="382" bestFit="1" customWidth="1"/>
    <col min="10" max="16384" width="9.28515625" style="382"/>
  </cols>
  <sheetData>
    <row r="1" spans="1:9" ht="13.5">
      <c r="A1" s="381" t="s">
        <v>108</v>
      </c>
      <c r="B1" s="308" t="str">
        <f>Info!C2</f>
        <v>JSC "VTB Bank (Georgia)"</v>
      </c>
      <c r="C1" s="494"/>
      <c r="D1" s="494"/>
      <c r="E1" s="494"/>
      <c r="F1" s="494"/>
      <c r="G1" s="494"/>
      <c r="H1" s="494"/>
    </row>
    <row r="2" spans="1:9">
      <c r="A2" s="383" t="s">
        <v>109</v>
      </c>
      <c r="B2" s="385">
        <f>Info!D2</f>
        <v>45473</v>
      </c>
      <c r="C2" s="494"/>
      <c r="D2" s="494"/>
      <c r="E2" s="494"/>
      <c r="F2" s="494"/>
      <c r="G2" s="494"/>
      <c r="H2" s="494"/>
    </row>
    <row r="3" spans="1:9">
      <c r="A3" s="384" t="s">
        <v>501</v>
      </c>
      <c r="B3" s="494"/>
      <c r="C3" s="494"/>
      <c r="D3" s="494"/>
      <c r="E3" s="494"/>
      <c r="F3" s="494"/>
      <c r="G3" s="494"/>
      <c r="H3" s="494"/>
    </row>
    <row r="4" spans="1:9">
      <c r="A4" s="495"/>
      <c r="B4" s="494"/>
      <c r="C4" s="493" t="s">
        <v>502</v>
      </c>
      <c r="D4" s="493" t="s">
        <v>503</v>
      </c>
      <c r="E4" s="493" t="s">
        <v>504</v>
      </c>
      <c r="F4" s="493" t="s">
        <v>505</v>
      </c>
      <c r="G4" s="493" t="s">
        <v>506</v>
      </c>
      <c r="H4" s="493" t="s">
        <v>507</v>
      </c>
    </row>
    <row r="5" spans="1:9" ht="34.35" customHeight="1">
      <c r="A5" s="867" t="s">
        <v>867</v>
      </c>
      <c r="B5" s="868"/>
      <c r="C5" s="881" t="s">
        <v>596</v>
      </c>
      <c r="D5" s="881"/>
      <c r="E5" s="881" t="s">
        <v>866</v>
      </c>
      <c r="F5" s="879" t="s">
        <v>865</v>
      </c>
      <c r="G5" s="879" t="s">
        <v>511</v>
      </c>
      <c r="H5" s="491" t="s">
        <v>864</v>
      </c>
    </row>
    <row r="6" spans="1:9" ht="25.5">
      <c r="A6" s="871"/>
      <c r="B6" s="872"/>
      <c r="C6" s="492" t="s">
        <v>512</v>
      </c>
      <c r="D6" s="492" t="s">
        <v>513</v>
      </c>
      <c r="E6" s="881"/>
      <c r="F6" s="880"/>
      <c r="G6" s="880"/>
      <c r="H6" s="491" t="s">
        <v>863</v>
      </c>
    </row>
    <row r="7" spans="1:9">
      <c r="A7" s="489">
        <v>1</v>
      </c>
      <c r="B7" s="478" t="s">
        <v>134</v>
      </c>
      <c r="C7" s="724"/>
      <c r="D7" s="724">
        <v>351</v>
      </c>
      <c r="E7" s="725"/>
      <c r="F7" s="725"/>
      <c r="G7" s="724"/>
      <c r="H7" s="628">
        <f t="shared" ref="H7:H20" si="0">C7+D7-E7-F7</f>
        <v>351</v>
      </c>
    </row>
    <row r="8" spans="1:9" ht="25.35" customHeight="1">
      <c r="A8" s="489">
        <v>2</v>
      </c>
      <c r="B8" s="478" t="s">
        <v>135</v>
      </c>
      <c r="C8" s="724"/>
      <c r="D8" s="724"/>
      <c r="E8" s="725"/>
      <c r="F8" s="725"/>
      <c r="G8" s="724"/>
      <c r="H8" s="628">
        <f t="shared" si="0"/>
        <v>0</v>
      </c>
    </row>
    <row r="9" spans="1:9">
      <c r="A9" s="489">
        <v>3</v>
      </c>
      <c r="B9" s="478" t="s">
        <v>136</v>
      </c>
      <c r="C9" s="724"/>
      <c r="D9" s="724"/>
      <c r="E9" s="725"/>
      <c r="F9" s="725"/>
      <c r="G9" s="724"/>
      <c r="H9" s="628">
        <f t="shared" si="0"/>
        <v>0</v>
      </c>
    </row>
    <row r="10" spans="1:9">
      <c r="A10" s="489">
        <v>4</v>
      </c>
      <c r="B10" s="478" t="s">
        <v>137</v>
      </c>
      <c r="C10" s="724"/>
      <c r="D10" s="724"/>
      <c r="E10" s="725"/>
      <c r="F10" s="725"/>
      <c r="G10" s="724"/>
      <c r="H10" s="628">
        <f t="shared" si="0"/>
        <v>0</v>
      </c>
    </row>
    <row r="11" spans="1:9">
      <c r="A11" s="489">
        <v>5</v>
      </c>
      <c r="B11" s="478" t="s">
        <v>949</v>
      </c>
      <c r="C11" s="724"/>
      <c r="D11" s="724"/>
      <c r="E11" s="725"/>
      <c r="F11" s="725"/>
      <c r="G11" s="724"/>
      <c r="H11" s="628">
        <f t="shared" si="0"/>
        <v>0</v>
      </c>
    </row>
    <row r="12" spans="1:9">
      <c r="A12" s="489">
        <v>6</v>
      </c>
      <c r="B12" s="478" t="s">
        <v>138</v>
      </c>
      <c r="C12" s="724"/>
      <c r="D12" s="724">
        <v>6880518.8789999997</v>
      </c>
      <c r="E12" s="725">
        <v>140</v>
      </c>
      <c r="F12" s="725"/>
      <c r="G12" s="724"/>
      <c r="H12" s="628">
        <f t="shared" si="0"/>
        <v>6880378.8789999997</v>
      </c>
      <c r="I12" s="664">
        <f>H12-' 17. Residual Maturity'!H13</f>
        <v>0</v>
      </c>
    </row>
    <row r="13" spans="1:9">
      <c r="A13" s="489">
        <v>7</v>
      </c>
      <c r="B13" s="478" t="s">
        <v>71</v>
      </c>
      <c r="C13" s="724">
        <v>100579771.80359501</v>
      </c>
      <c r="D13" s="724">
        <v>103887519.53732</v>
      </c>
      <c r="E13" s="725">
        <v>16312390.949515076</v>
      </c>
      <c r="F13" s="725">
        <v>0</v>
      </c>
      <c r="G13" s="724"/>
      <c r="H13" s="628">
        <f t="shared" si="0"/>
        <v>188154900.39139995</v>
      </c>
      <c r="I13" s="664">
        <f>H13-' 17. Residual Maturity'!H14</f>
        <v>0</v>
      </c>
    </row>
    <row r="14" spans="1:9">
      <c r="A14" s="489">
        <v>8</v>
      </c>
      <c r="B14" s="480" t="s">
        <v>72</v>
      </c>
      <c r="C14" s="724">
        <v>0</v>
      </c>
      <c r="D14" s="724">
        <v>0</v>
      </c>
      <c r="E14" s="724">
        <v>0</v>
      </c>
      <c r="F14" s="725">
        <v>0</v>
      </c>
      <c r="G14" s="724"/>
      <c r="H14" s="628">
        <f t="shared" si="0"/>
        <v>0</v>
      </c>
      <c r="I14" s="664">
        <f>H14-' 17. Residual Maturity'!H15</f>
        <v>0</v>
      </c>
    </row>
    <row r="15" spans="1:9" ht="24">
      <c r="A15" s="489">
        <v>9</v>
      </c>
      <c r="B15" s="478" t="s">
        <v>950</v>
      </c>
      <c r="C15" s="724">
        <v>83853</v>
      </c>
      <c r="D15" s="724">
        <v>6787101.6452648146</v>
      </c>
      <c r="E15" s="725">
        <v>20504.941534682472</v>
      </c>
      <c r="F15" s="725">
        <v>0</v>
      </c>
      <c r="G15" s="724"/>
      <c r="H15" s="628">
        <f t="shared" si="0"/>
        <v>6850449.7037301324</v>
      </c>
      <c r="I15" s="664">
        <f>H15-' 17. Residual Maturity'!H16</f>
        <v>-0.41776986792683601</v>
      </c>
    </row>
    <row r="16" spans="1:9">
      <c r="A16" s="489">
        <v>10</v>
      </c>
      <c r="B16" s="482" t="s">
        <v>514</v>
      </c>
      <c r="C16" s="724">
        <v>45450770.750200003</v>
      </c>
      <c r="D16" s="724">
        <v>28983192</v>
      </c>
      <c r="E16" s="725">
        <v>12175324.800864711</v>
      </c>
      <c r="F16" s="725">
        <v>0</v>
      </c>
      <c r="G16" s="724"/>
      <c r="H16" s="628">
        <f t="shared" si="0"/>
        <v>62258637.949335292</v>
      </c>
      <c r="I16" s="664">
        <f>H16-' 17. Residual Maturity'!H17</f>
        <v>-0.2477647066116333</v>
      </c>
    </row>
    <row r="17" spans="1:9">
      <c r="A17" s="489">
        <v>11</v>
      </c>
      <c r="B17" s="478" t="s">
        <v>68</v>
      </c>
      <c r="C17" s="724">
        <v>0</v>
      </c>
      <c r="D17" s="724">
        <v>0</v>
      </c>
      <c r="E17" s="725">
        <v>0</v>
      </c>
      <c r="F17" s="725">
        <v>0</v>
      </c>
      <c r="G17" s="724"/>
      <c r="H17" s="628">
        <f t="shared" si="0"/>
        <v>0</v>
      </c>
    </row>
    <row r="18" spans="1:9">
      <c r="A18" s="489">
        <v>12</v>
      </c>
      <c r="B18" s="478" t="s">
        <v>69</v>
      </c>
      <c r="C18" s="724"/>
      <c r="D18" s="724"/>
      <c r="E18" s="725"/>
      <c r="F18" s="725"/>
      <c r="G18" s="724"/>
      <c r="H18" s="628">
        <f t="shared" si="0"/>
        <v>0</v>
      </c>
    </row>
    <row r="19" spans="1:9">
      <c r="A19" s="490">
        <v>13</v>
      </c>
      <c r="B19" s="480" t="s">
        <v>70</v>
      </c>
      <c r="C19" s="724"/>
      <c r="D19" s="724"/>
      <c r="E19" s="725"/>
      <c r="F19" s="725"/>
      <c r="G19" s="724"/>
      <c r="H19" s="628">
        <f t="shared" si="0"/>
        <v>0</v>
      </c>
    </row>
    <row r="20" spans="1:9">
      <c r="A20" s="489">
        <v>14</v>
      </c>
      <c r="B20" s="478" t="s">
        <v>500</v>
      </c>
      <c r="C20" s="724">
        <v>0</v>
      </c>
      <c r="D20" s="724">
        <v>260747677.83376911</v>
      </c>
      <c r="E20" s="725">
        <v>163935.125469085</v>
      </c>
      <c r="F20" s="725">
        <v>0</v>
      </c>
      <c r="G20" s="724"/>
      <c r="H20" s="628">
        <f t="shared" si="0"/>
        <v>260583742.70830002</v>
      </c>
      <c r="I20" s="664">
        <f>H20-'[4]Risk Weighted Risk Exposures'!$D$39</f>
        <v>0</v>
      </c>
    </row>
    <row r="21" spans="1:9" s="387" customFormat="1">
      <c r="A21" s="488">
        <v>15</v>
      </c>
      <c r="B21" s="487" t="s">
        <v>66</v>
      </c>
      <c r="C21" s="726">
        <f>SUM(C7:C15)+SUM(C17:C20)</f>
        <v>100663624.80359501</v>
      </c>
      <c r="D21" s="726">
        <f t="shared" ref="D21:G21" si="1">SUM(D7:D15)+SUM(D17:D20)</f>
        <v>378303168.89535391</v>
      </c>
      <c r="E21" s="726">
        <f>SUM(E7:E15)+SUM(E17:E20)</f>
        <v>16496971.016518844</v>
      </c>
      <c r="F21" s="726">
        <f t="shared" si="1"/>
        <v>0</v>
      </c>
      <c r="G21" s="726">
        <f t="shared" si="1"/>
        <v>0</v>
      </c>
      <c r="H21" s="628">
        <f t="shared" ref="H21" si="2">SUM(H7:H15)+SUM(H17:H20)</f>
        <v>462469822.68243015</v>
      </c>
    </row>
    <row r="22" spans="1:9">
      <c r="A22" s="486">
        <v>16</v>
      </c>
      <c r="B22" s="485" t="s">
        <v>515</v>
      </c>
      <c r="C22" s="724">
        <f>SUM(C13,C15,C14)</f>
        <v>100663624.80359501</v>
      </c>
      <c r="D22" s="724">
        <f>SUM(D13,D15,D14)</f>
        <v>110674621.18258482</v>
      </c>
      <c r="E22" s="724">
        <f>SUM(E13,E15,E14)</f>
        <v>16332895.891049759</v>
      </c>
      <c r="F22" s="725">
        <v>0</v>
      </c>
      <c r="G22" s="724"/>
      <c r="H22" s="628">
        <f>C22+D22-E22-F22</f>
        <v>195005350.09513006</v>
      </c>
    </row>
    <row r="23" spans="1:9">
      <c r="A23" s="486">
        <v>17</v>
      </c>
      <c r="B23" s="485" t="s">
        <v>516</v>
      </c>
      <c r="C23" s="667"/>
      <c r="D23" s="667"/>
      <c r="E23" s="629"/>
      <c r="F23" s="629"/>
      <c r="G23" s="667"/>
      <c r="H23" s="628">
        <f>C23+D23-E23-F23</f>
        <v>0</v>
      </c>
    </row>
    <row r="24" spans="1:9">
      <c r="C24" s="687">
        <f>C22-'24. Risk Sector'!F33</f>
        <v>0</v>
      </c>
      <c r="D24" s="687"/>
      <c r="E24" s="688">
        <f>E22+'[4]FSF-SOFP'!$W$23</f>
        <v>8.0632045865058899E-5</v>
      </c>
      <c r="F24" s="688"/>
      <c r="G24" s="687"/>
      <c r="H24" s="687">
        <f>H21-'7. LI1'!C37</f>
        <v>-1.2566266655921936</v>
      </c>
    </row>
    <row r="25" spans="1:9">
      <c r="E25" s="382"/>
      <c r="F25" s="382"/>
      <c r="H25" s="664">
        <f>'2. SOFP'!E36-H21</f>
        <v>1.2566266059875488</v>
      </c>
    </row>
    <row r="26" spans="1:9" ht="42.6" customHeight="1">
      <c r="B26" s="402"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topLeftCell="A5" zoomScale="90" zoomScaleNormal="90" workbookViewId="0">
      <selection activeCell="E37" sqref="E37"/>
    </sheetView>
  </sheetViews>
  <sheetFormatPr defaultColWidth="9.28515625" defaultRowHeight="12.75"/>
  <cols>
    <col min="1" max="1" width="11" style="382" bestFit="1" customWidth="1"/>
    <col min="2" max="2" width="54" style="382" customWidth="1"/>
    <col min="3" max="3" width="35" style="382" customWidth="1"/>
    <col min="4" max="4" width="35.140625" style="382" customWidth="1"/>
    <col min="5" max="5" width="22" style="382" customWidth="1"/>
    <col min="6" max="6" width="16.140625" style="382" customWidth="1"/>
    <col min="7" max="7" width="17.85546875" style="382" customWidth="1"/>
    <col min="8" max="8" width="29.7109375" style="382" bestFit="1" customWidth="1"/>
    <col min="9" max="9" width="12.42578125" style="382" bestFit="1" customWidth="1"/>
    <col min="10" max="16384" width="9.28515625" style="382"/>
  </cols>
  <sheetData>
    <row r="1" spans="1:8" ht="13.5">
      <c r="A1" s="381" t="s">
        <v>108</v>
      </c>
      <c r="B1" s="308" t="str">
        <f>Info!C2</f>
        <v>JSC "VTB Bank (Georgia)"</v>
      </c>
      <c r="C1" s="494"/>
      <c r="D1" s="494"/>
      <c r="E1" s="494"/>
      <c r="F1" s="494"/>
      <c r="G1" s="494"/>
      <c r="H1" s="494"/>
    </row>
    <row r="2" spans="1:8">
      <c r="A2" s="383" t="s">
        <v>109</v>
      </c>
      <c r="B2" s="385">
        <f>Info!D2</f>
        <v>45473</v>
      </c>
      <c r="C2" s="494"/>
      <c r="D2" s="494"/>
      <c r="E2" s="494"/>
      <c r="F2" s="494"/>
      <c r="G2" s="494"/>
      <c r="H2" s="494"/>
    </row>
    <row r="3" spans="1:8">
      <c r="A3" s="384" t="s">
        <v>517</v>
      </c>
      <c r="B3" s="494"/>
      <c r="C3" s="494"/>
      <c r="D3" s="494"/>
      <c r="E3" s="494"/>
      <c r="F3" s="494"/>
      <c r="G3" s="494"/>
      <c r="H3" s="494"/>
    </row>
    <row r="4" spans="1:8" ht="14.45" customHeight="1">
      <c r="A4" s="494"/>
      <c r="B4" s="494"/>
      <c r="C4" s="493" t="s">
        <v>502</v>
      </c>
      <c r="D4" s="493" t="s">
        <v>503</v>
      </c>
      <c r="E4" s="493" t="s">
        <v>504</v>
      </c>
      <c r="F4" s="493" t="s">
        <v>505</v>
      </c>
      <c r="G4" s="493" t="s">
        <v>506</v>
      </c>
      <c r="H4" s="493" t="s">
        <v>507</v>
      </c>
    </row>
    <row r="5" spans="1:8" ht="27.6" customHeight="1">
      <c r="A5" s="867" t="s">
        <v>869</v>
      </c>
      <c r="B5" s="868"/>
      <c r="C5" s="882" t="s">
        <v>596</v>
      </c>
      <c r="D5" s="883"/>
      <c r="E5" s="879" t="s">
        <v>866</v>
      </c>
      <c r="F5" s="879" t="s">
        <v>865</v>
      </c>
      <c r="G5" s="879" t="s">
        <v>511</v>
      </c>
      <c r="H5" s="491" t="s">
        <v>864</v>
      </c>
    </row>
    <row r="6" spans="1:8" ht="40.9" customHeight="1">
      <c r="A6" s="871"/>
      <c r="B6" s="872"/>
      <c r="C6" s="492" t="s">
        <v>512</v>
      </c>
      <c r="D6" s="492" t="s">
        <v>513</v>
      </c>
      <c r="E6" s="880"/>
      <c r="F6" s="880"/>
      <c r="G6" s="880"/>
      <c r="H6" s="491" t="s">
        <v>863</v>
      </c>
    </row>
    <row r="7" spans="1:8">
      <c r="A7" s="483">
        <v>1</v>
      </c>
      <c r="B7" s="498" t="s">
        <v>518</v>
      </c>
      <c r="C7" s="724">
        <v>0</v>
      </c>
      <c r="D7" s="724">
        <v>313856.65000000002</v>
      </c>
      <c r="E7" s="724">
        <v>6305.380098499998</v>
      </c>
      <c r="F7" s="724">
        <v>0</v>
      </c>
      <c r="G7" s="667"/>
      <c r="H7" s="628">
        <f t="shared" ref="H7:H34" si="0">C7+D7-E7-F7</f>
        <v>307551.26990150003</v>
      </c>
    </row>
    <row r="8" spans="1:8">
      <c r="A8" s="483">
        <v>2</v>
      </c>
      <c r="B8" s="498" t="s">
        <v>519</v>
      </c>
      <c r="C8" s="724">
        <v>0</v>
      </c>
      <c r="D8" s="724">
        <v>6880868.8789999997</v>
      </c>
      <c r="E8" s="724">
        <v>140</v>
      </c>
      <c r="F8" s="724">
        <v>0</v>
      </c>
      <c r="G8" s="667"/>
      <c r="H8" s="628">
        <f t="shared" si="0"/>
        <v>6880728.8789999997</v>
      </c>
    </row>
    <row r="9" spans="1:8">
      <c r="A9" s="483">
        <v>3</v>
      </c>
      <c r="B9" s="498" t="s">
        <v>868</v>
      </c>
      <c r="C9" s="724">
        <v>7484132.1079999991</v>
      </c>
      <c r="D9" s="724">
        <v>0</v>
      </c>
      <c r="E9" s="724">
        <v>870676.03339661262</v>
      </c>
      <c r="F9" s="724">
        <v>0</v>
      </c>
      <c r="G9" s="667"/>
      <c r="H9" s="628">
        <f t="shared" si="0"/>
        <v>6613456.0746033862</v>
      </c>
    </row>
    <row r="10" spans="1:8">
      <c r="A10" s="483">
        <v>4</v>
      </c>
      <c r="B10" s="498" t="s">
        <v>520</v>
      </c>
      <c r="C10" s="724">
        <v>742734.69279500004</v>
      </c>
      <c r="D10" s="724">
        <v>6546330.3289999999</v>
      </c>
      <c r="E10" s="724">
        <v>117108.78822154501</v>
      </c>
      <c r="F10" s="724">
        <v>0</v>
      </c>
      <c r="G10" s="667"/>
      <c r="H10" s="628">
        <f t="shared" si="0"/>
        <v>7171956.2335734554</v>
      </c>
    </row>
    <row r="11" spans="1:8">
      <c r="A11" s="483">
        <v>5</v>
      </c>
      <c r="B11" s="498" t="s">
        <v>521</v>
      </c>
      <c r="C11" s="724">
        <v>0</v>
      </c>
      <c r="D11" s="724">
        <v>0</v>
      </c>
      <c r="E11" s="724">
        <v>0</v>
      </c>
      <c r="F11" s="724">
        <v>0</v>
      </c>
      <c r="G11" s="667"/>
      <c r="H11" s="628">
        <f t="shared" si="0"/>
        <v>0</v>
      </c>
    </row>
    <row r="12" spans="1:8">
      <c r="A12" s="483">
        <v>6</v>
      </c>
      <c r="B12" s="498" t="s">
        <v>522</v>
      </c>
      <c r="C12" s="724">
        <v>0</v>
      </c>
      <c r="D12" s="724">
        <v>0</v>
      </c>
      <c r="E12" s="724">
        <v>0</v>
      </c>
      <c r="F12" s="724">
        <v>0</v>
      </c>
      <c r="G12" s="667"/>
      <c r="H12" s="628">
        <f t="shared" si="0"/>
        <v>0</v>
      </c>
    </row>
    <row r="13" spans="1:8">
      <c r="A13" s="483">
        <v>7</v>
      </c>
      <c r="B13" s="498" t="s">
        <v>523</v>
      </c>
      <c r="C13" s="724">
        <v>40799568.131940007</v>
      </c>
      <c r="D13" s="724">
        <v>8830684.5693499986</v>
      </c>
      <c r="E13" s="724">
        <v>1405269.3510280792</v>
      </c>
      <c r="F13" s="724">
        <v>0</v>
      </c>
      <c r="G13" s="667"/>
      <c r="H13" s="628">
        <f t="shared" si="0"/>
        <v>48224983.350261927</v>
      </c>
    </row>
    <row r="14" spans="1:8">
      <c r="A14" s="483">
        <v>8</v>
      </c>
      <c r="B14" s="498" t="s">
        <v>524</v>
      </c>
      <c r="C14" s="724">
        <v>19223223.727200001</v>
      </c>
      <c r="D14" s="724">
        <v>15635120.447618</v>
      </c>
      <c r="E14" s="724">
        <v>2958174.8740998097</v>
      </c>
      <c r="F14" s="724">
        <v>0</v>
      </c>
      <c r="G14" s="667"/>
      <c r="H14" s="628">
        <f t="shared" si="0"/>
        <v>31900169.300718192</v>
      </c>
    </row>
    <row r="15" spans="1:8">
      <c r="A15" s="483">
        <v>9</v>
      </c>
      <c r="B15" s="498" t="s">
        <v>525</v>
      </c>
      <c r="C15" s="724">
        <v>7328.65</v>
      </c>
      <c r="D15" s="724">
        <v>0</v>
      </c>
      <c r="E15" s="724">
        <v>545.77955213146583</v>
      </c>
      <c r="F15" s="724">
        <v>0</v>
      </c>
      <c r="G15" s="667"/>
      <c r="H15" s="628">
        <f t="shared" si="0"/>
        <v>6782.870447868534</v>
      </c>
    </row>
    <row r="16" spans="1:8" ht="25.5">
      <c r="A16" s="483">
        <v>10</v>
      </c>
      <c r="B16" s="498" t="s">
        <v>526</v>
      </c>
      <c r="C16" s="724">
        <v>0</v>
      </c>
      <c r="D16" s="724">
        <v>0</v>
      </c>
      <c r="E16" s="724">
        <v>0</v>
      </c>
      <c r="F16" s="724">
        <v>0</v>
      </c>
      <c r="G16" s="667"/>
      <c r="H16" s="628">
        <f t="shared" si="0"/>
        <v>0</v>
      </c>
    </row>
    <row r="17" spans="1:9">
      <c r="A17" s="483">
        <v>11</v>
      </c>
      <c r="B17" s="498" t="s">
        <v>527</v>
      </c>
      <c r="C17" s="724">
        <v>841797.2</v>
      </c>
      <c r="D17" s="724">
        <v>5988341.7444999991</v>
      </c>
      <c r="E17" s="724">
        <v>535320.63886495284</v>
      </c>
      <c r="F17" s="724">
        <v>0</v>
      </c>
      <c r="G17" s="667"/>
      <c r="H17" s="628">
        <f t="shared" si="0"/>
        <v>6294818.3056350462</v>
      </c>
    </row>
    <row r="18" spans="1:9">
      <c r="A18" s="483">
        <v>12</v>
      </c>
      <c r="B18" s="498" t="s">
        <v>528</v>
      </c>
      <c r="C18" s="724">
        <v>0</v>
      </c>
      <c r="D18" s="724">
        <v>4223792.3109049359</v>
      </c>
      <c r="E18" s="724">
        <v>10688.93828356823</v>
      </c>
      <c r="F18" s="724">
        <v>0</v>
      </c>
      <c r="G18" s="667"/>
      <c r="H18" s="628">
        <f t="shared" si="0"/>
        <v>4213103.3726213677</v>
      </c>
    </row>
    <row r="19" spans="1:9">
      <c r="A19" s="483">
        <v>13</v>
      </c>
      <c r="B19" s="498" t="s">
        <v>529</v>
      </c>
      <c r="C19" s="724">
        <v>9774492.4000000004</v>
      </c>
      <c r="D19" s="724">
        <v>27623639.944566898</v>
      </c>
      <c r="E19" s="724">
        <v>2753609.1445018384</v>
      </c>
      <c r="F19" s="724">
        <v>0</v>
      </c>
      <c r="G19" s="667"/>
      <c r="H19" s="628">
        <f t="shared" si="0"/>
        <v>34644523.200065061</v>
      </c>
    </row>
    <row r="20" spans="1:9">
      <c r="A20" s="483">
        <v>14</v>
      </c>
      <c r="B20" s="498" t="s">
        <v>530</v>
      </c>
      <c r="C20" s="724">
        <v>0</v>
      </c>
      <c r="D20" s="724">
        <v>0</v>
      </c>
      <c r="E20" s="724">
        <v>0</v>
      </c>
      <c r="F20" s="724">
        <v>0</v>
      </c>
      <c r="G20" s="667"/>
      <c r="H20" s="628">
        <f t="shared" si="0"/>
        <v>0</v>
      </c>
    </row>
    <row r="21" spans="1:9">
      <c r="A21" s="483">
        <v>15</v>
      </c>
      <c r="B21" s="498" t="s">
        <v>531</v>
      </c>
      <c r="C21" s="724">
        <v>0</v>
      </c>
      <c r="D21" s="724">
        <v>0</v>
      </c>
      <c r="E21" s="724">
        <v>0</v>
      </c>
      <c r="F21" s="724">
        <v>0</v>
      </c>
      <c r="G21" s="667"/>
      <c r="H21" s="628">
        <f t="shared" si="0"/>
        <v>0</v>
      </c>
    </row>
    <row r="22" spans="1:9">
      <c r="A22" s="483">
        <v>16</v>
      </c>
      <c r="B22" s="498" t="s">
        <v>532</v>
      </c>
      <c r="C22" s="724">
        <v>3858000.3404999999</v>
      </c>
      <c r="D22" s="724">
        <v>20420129.032524072</v>
      </c>
      <c r="E22" s="724">
        <v>2031352.8949243217</v>
      </c>
      <c r="F22" s="724">
        <v>0</v>
      </c>
      <c r="G22" s="667"/>
      <c r="H22" s="628">
        <f t="shared" si="0"/>
        <v>22246776.478099752</v>
      </c>
    </row>
    <row r="23" spans="1:9">
      <c r="A23" s="483">
        <v>17</v>
      </c>
      <c r="B23" s="498" t="s">
        <v>533</v>
      </c>
      <c r="C23" s="724">
        <v>0</v>
      </c>
      <c r="D23" s="724">
        <v>0</v>
      </c>
      <c r="E23" s="724">
        <v>0</v>
      </c>
      <c r="F23" s="724">
        <v>0</v>
      </c>
      <c r="G23" s="667"/>
      <c r="H23" s="628">
        <f t="shared" si="0"/>
        <v>0</v>
      </c>
    </row>
    <row r="24" spans="1:9">
      <c r="A24" s="483">
        <v>18</v>
      </c>
      <c r="B24" s="498" t="s">
        <v>534</v>
      </c>
      <c r="C24" s="724">
        <v>0</v>
      </c>
      <c r="D24" s="724">
        <v>0</v>
      </c>
      <c r="E24" s="724">
        <v>0</v>
      </c>
      <c r="F24" s="724">
        <v>0</v>
      </c>
      <c r="G24" s="667"/>
      <c r="H24" s="628">
        <f t="shared" si="0"/>
        <v>0</v>
      </c>
    </row>
    <row r="25" spans="1:9">
      <c r="A25" s="483">
        <v>19</v>
      </c>
      <c r="B25" s="498" t="s">
        <v>535</v>
      </c>
      <c r="C25" s="724">
        <v>0</v>
      </c>
      <c r="D25" s="724">
        <v>8106077.1699999999</v>
      </c>
      <c r="E25" s="724">
        <v>6624.5696683624019</v>
      </c>
      <c r="F25" s="724">
        <v>0</v>
      </c>
      <c r="G25" s="667"/>
      <c r="H25" s="628">
        <f t="shared" si="0"/>
        <v>8099452.6003316371</v>
      </c>
    </row>
    <row r="26" spans="1:9">
      <c r="A26" s="483">
        <v>20</v>
      </c>
      <c r="B26" s="498" t="s">
        <v>536</v>
      </c>
      <c r="C26" s="724">
        <v>0</v>
      </c>
      <c r="D26" s="724">
        <v>0</v>
      </c>
      <c r="E26" s="724">
        <v>0</v>
      </c>
      <c r="F26" s="724">
        <v>0</v>
      </c>
      <c r="G26" s="667"/>
      <c r="H26" s="628">
        <f t="shared" si="0"/>
        <v>0</v>
      </c>
      <c r="I26" s="389"/>
    </row>
    <row r="27" spans="1:9">
      <c r="A27" s="483">
        <v>21</v>
      </c>
      <c r="B27" s="498" t="s">
        <v>537</v>
      </c>
      <c r="C27" s="724">
        <v>0</v>
      </c>
      <c r="D27" s="724">
        <v>0</v>
      </c>
      <c r="E27" s="724">
        <v>0</v>
      </c>
      <c r="F27" s="724">
        <v>0</v>
      </c>
      <c r="G27" s="667"/>
      <c r="H27" s="628">
        <f t="shared" si="0"/>
        <v>0</v>
      </c>
      <c r="I27" s="389"/>
    </row>
    <row r="28" spans="1:9">
      <c r="A28" s="483">
        <v>22</v>
      </c>
      <c r="B28" s="498" t="s">
        <v>538</v>
      </c>
      <c r="C28" s="724">
        <v>12647885.663200002</v>
      </c>
      <c r="D28" s="724">
        <v>3566579.3166100001</v>
      </c>
      <c r="E28" s="724">
        <v>4249417.6896189721</v>
      </c>
      <c r="F28" s="724">
        <v>0</v>
      </c>
      <c r="G28" s="667"/>
      <c r="H28" s="628">
        <f t="shared" si="0"/>
        <v>11965047.290191032</v>
      </c>
      <c r="I28" s="389"/>
    </row>
    <row r="29" spans="1:9">
      <c r="A29" s="483">
        <v>23</v>
      </c>
      <c r="B29" s="498" t="s">
        <v>539</v>
      </c>
      <c r="C29" s="724">
        <v>4600688.7382999994</v>
      </c>
      <c r="D29" s="724">
        <v>1386229.4709999999</v>
      </c>
      <c r="E29" s="724">
        <v>944606.80907400069</v>
      </c>
      <c r="F29" s="724">
        <v>0</v>
      </c>
      <c r="G29" s="667"/>
      <c r="H29" s="628">
        <f t="shared" si="0"/>
        <v>5042311.4002259988</v>
      </c>
      <c r="I29" s="389"/>
    </row>
    <row r="30" spans="1:9">
      <c r="A30" s="483">
        <v>24</v>
      </c>
      <c r="B30" s="498" t="s">
        <v>540</v>
      </c>
      <c r="C30" s="724">
        <v>0</v>
      </c>
      <c r="D30" s="724">
        <v>0</v>
      </c>
      <c r="E30" s="724">
        <v>0</v>
      </c>
      <c r="F30" s="724">
        <v>0</v>
      </c>
      <c r="G30" s="667"/>
      <c r="H30" s="628">
        <f t="shared" si="0"/>
        <v>0</v>
      </c>
      <c r="I30" s="389"/>
    </row>
    <row r="31" spans="1:9">
      <c r="A31" s="483">
        <v>25</v>
      </c>
      <c r="B31" s="498" t="s">
        <v>541</v>
      </c>
      <c r="C31" s="724">
        <v>683773.15165999986</v>
      </c>
      <c r="D31" s="724">
        <v>8033841.2243259987</v>
      </c>
      <c r="E31" s="724">
        <v>443194.99963644799</v>
      </c>
      <c r="F31" s="724">
        <v>0</v>
      </c>
      <c r="G31" s="667"/>
      <c r="H31" s="628">
        <f t="shared" si="0"/>
        <v>8274419.3763495507</v>
      </c>
      <c r="I31" s="389"/>
    </row>
    <row r="32" spans="1:9" ht="25.5">
      <c r="A32" s="483">
        <v>26</v>
      </c>
      <c r="B32" s="498" t="s">
        <v>542</v>
      </c>
      <c r="C32" s="724">
        <v>0</v>
      </c>
      <c r="D32" s="724">
        <v>0</v>
      </c>
      <c r="E32" s="724">
        <v>0</v>
      </c>
      <c r="F32" s="724">
        <v>0</v>
      </c>
      <c r="G32" s="667"/>
      <c r="H32" s="628">
        <f t="shared" si="0"/>
        <v>0</v>
      </c>
      <c r="I32" s="389"/>
    </row>
    <row r="33" spans="1:9">
      <c r="A33" s="483">
        <v>27</v>
      </c>
      <c r="B33" s="484" t="s">
        <v>99</v>
      </c>
      <c r="C33" s="724">
        <f>'18. Assets by Exposure classes'!C20</f>
        <v>0</v>
      </c>
      <c r="D33" s="724">
        <v>260747678</v>
      </c>
      <c r="E33" s="724">
        <v>163935.125469085</v>
      </c>
      <c r="F33" s="667">
        <f>'18. Assets by Exposure classes'!F20</f>
        <v>0</v>
      </c>
      <c r="G33" s="667"/>
      <c r="H33" s="628">
        <f t="shared" si="0"/>
        <v>260583742.87453091</v>
      </c>
      <c r="I33" s="799">
        <f>H33-'18. Assets by Exposure classes'!H20</f>
        <v>0.16623088717460632</v>
      </c>
    </row>
    <row r="34" spans="1:9">
      <c r="A34" s="483">
        <v>28</v>
      </c>
      <c r="B34" s="497" t="s">
        <v>66</v>
      </c>
      <c r="C34" s="666">
        <f>SUM(C7:C33)</f>
        <v>100663624.80359501</v>
      </c>
      <c r="D34" s="666">
        <f>SUM(D7:D33)</f>
        <v>378303169.08939993</v>
      </c>
      <c r="E34" s="666">
        <f>SUM(E7:E33)</f>
        <v>16496971.016438227</v>
      </c>
      <c r="F34" s="666">
        <f>SUM(F7:F33)</f>
        <v>0</v>
      </c>
      <c r="G34" s="666">
        <f>SUM(G7:G33)</f>
        <v>0</v>
      </c>
      <c r="H34" s="628">
        <f t="shared" si="0"/>
        <v>462469822.87655669</v>
      </c>
      <c r="I34" s="389"/>
    </row>
    <row r="35" spans="1:9">
      <c r="A35" s="389"/>
      <c r="B35" s="389"/>
      <c r="C35" s="624">
        <f>C34-'18. Assets by Exposure classes'!C21</f>
        <v>0</v>
      </c>
      <c r="D35" s="627"/>
      <c r="E35" s="624">
        <f>SUM(E7:E31)-'18. Assets by Exposure classes'!E22-E8</f>
        <v>-8.0617144703865051E-5</v>
      </c>
      <c r="F35" s="624">
        <f>SUM(F7:F31)-'18. Assets by Exposure classes'!F22</f>
        <v>0</v>
      </c>
      <c r="G35" s="627"/>
      <c r="H35" s="624">
        <f>H34-'18. Assets by Exposure classes'!H21</f>
        <v>0.19412654638290405</v>
      </c>
      <c r="I35" s="389"/>
    </row>
    <row r="36" spans="1:9">
      <c r="A36" s="389"/>
      <c r="B36" s="390"/>
      <c r="C36" s="627"/>
      <c r="D36" s="627"/>
      <c r="E36" s="624"/>
      <c r="F36" s="627"/>
      <c r="G36" s="627"/>
      <c r="H36" s="627"/>
      <c r="I36" s="389"/>
    </row>
    <row r="37" spans="1:9">
      <c r="C37" s="687"/>
      <c r="D37" s="687"/>
      <c r="E37" s="687"/>
      <c r="F37" s="687"/>
      <c r="G37" s="687"/>
      <c r="H37" s="687"/>
    </row>
    <row r="38" spans="1:9">
      <c r="C38" s="687"/>
      <c r="D38" s="687"/>
      <c r="E38" s="687"/>
      <c r="F38" s="687"/>
      <c r="G38" s="687"/>
      <c r="H38" s="687"/>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Normal="100" workbookViewId="0">
      <selection activeCell="C15" sqref="C15"/>
    </sheetView>
  </sheetViews>
  <sheetFormatPr defaultColWidth="9.28515625" defaultRowHeight="12.75"/>
  <cols>
    <col min="1" max="1" width="11.7109375" style="382" bestFit="1" customWidth="1"/>
    <col min="2" max="2" width="108" style="382" bestFit="1" customWidth="1"/>
    <col min="3" max="3" width="35.5703125" style="382" customWidth="1"/>
    <col min="4" max="4" width="38.42578125" style="388" customWidth="1"/>
    <col min="5" max="16384" width="9.28515625" style="382"/>
  </cols>
  <sheetData>
    <row r="1" spans="1:4" ht="13.5">
      <c r="A1" s="381" t="s">
        <v>108</v>
      </c>
      <c r="B1" s="308" t="str">
        <f>Info!C2</f>
        <v>JSC "VTB Bank (Georgia)"</v>
      </c>
      <c r="D1" s="382"/>
    </row>
    <row r="2" spans="1:4">
      <c r="A2" s="383" t="s">
        <v>109</v>
      </c>
      <c r="B2" s="385">
        <f>Info!D2</f>
        <v>45473</v>
      </c>
      <c r="D2" s="382"/>
    </row>
    <row r="3" spans="1:4">
      <c r="A3" s="384" t="s">
        <v>543</v>
      </c>
      <c r="D3" s="382"/>
    </row>
    <row r="5" spans="1:4">
      <c r="A5" s="884" t="s">
        <v>880</v>
      </c>
      <c r="B5" s="884"/>
      <c r="C5" s="506" t="s">
        <v>562</v>
      </c>
      <c r="D5" s="506" t="s">
        <v>879</v>
      </c>
    </row>
    <row r="6" spans="1:4">
      <c r="A6" s="505">
        <v>1</v>
      </c>
      <c r="B6" s="499" t="s">
        <v>878</v>
      </c>
      <c r="C6" s="625">
        <v>14438864.232112046</v>
      </c>
      <c r="D6" s="730">
        <v>0</v>
      </c>
    </row>
    <row r="7" spans="1:4">
      <c r="A7" s="502">
        <v>2</v>
      </c>
      <c r="B7" s="499" t="s">
        <v>877</v>
      </c>
      <c r="C7" s="626">
        <f>SUM(C8:C9)</f>
        <v>0</v>
      </c>
      <c r="D7" s="731">
        <f>SUM(D8:D9)</f>
        <v>0</v>
      </c>
    </row>
    <row r="8" spans="1:4">
      <c r="A8" s="504">
        <v>2.1</v>
      </c>
      <c r="B8" s="503" t="s">
        <v>876</v>
      </c>
      <c r="C8" s="626"/>
      <c r="D8" s="731"/>
    </row>
    <row r="9" spans="1:4">
      <c r="A9" s="504">
        <v>2.2000000000000002</v>
      </c>
      <c r="B9" s="503" t="s">
        <v>875</v>
      </c>
      <c r="C9" s="626">
        <v>0</v>
      </c>
      <c r="D9" s="731"/>
    </row>
    <row r="10" spans="1:4">
      <c r="A10" s="505">
        <v>3</v>
      </c>
      <c r="B10" s="499" t="s">
        <v>874</v>
      </c>
      <c r="C10" s="626">
        <f>SUM(C11:C13)</f>
        <v>0</v>
      </c>
      <c r="D10" s="731">
        <f>SUM(D11:D13)</f>
        <v>0</v>
      </c>
    </row>
    <row r="11" spans="1:4">
      <c r="A11" s="504">
        <v>3.1</v>
      </c>
      <c r="B11" s="503" t="s">
        <v>544</v>
      </c>
      <c r="C11" s="626"/>
      <c r="D11" s="731">
        <v>0</v>
      </c>
    </row>
    <row r="12" spans="1:4">
      <c r="A12" s="504">
        <v>3.2</v>
      </c>
      <c r="B12" s="503" t="s">
        <v>873</v>
      </c>
      <c r="C12" s="626">
        <v>0</v>
      </c>
      <c r="D12" s="731"/>
    </row>
    <row r="13" spans="1:4">
      <c r="A13" s="504">
        <v>3.3</v>
      </c>
      <c r="B13" s="503" t="s">
        <v>872</v>
      </c>
      <c r="C13" s="626"/>
      <c r="D13" s="731"/>
    </row>
    <row r="14" spans="1:4">
      <c r="A14" s="502">
        <v>4</v>
      </c>
      <c r="B14" s="501" t="s">
        <v>871</v>
      </c>
      <c r="C14" s="626">
        <v>1894171.66</v>
      </c>
      <c r="D14" s="731"/>
    </row>
    <row r="15" spans="1:4">
      <c r="A15" s="500">
        <v>5</v>
      </c>
      <c r="B15" s="499" t="s">
        <v>870</v>
      </c>
      <c r="C15" s="625">
        <f>C6+C7-C10+C14</f>
        <v>16333035.892112046</v>
      </c>
      <c r="D15" s="730">
        <f>D6+D7-D10+D14</f>
        <v>0</v>
      </c>
    </row>
    <row r="16" spans="1:4">
      <c r="C16" s="623">
        <f>C15-SUM('19. Assets by Risk Sectors'!E7:E32)-SUM('19. Assets by Risk Sectors'!F7:F32)</f>
        <v>1.1429041624069214E-3</v>
      </c>
    </row>
    <row r="17" spans="3:3">
      <c r="C17" s="63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8" sqref="C8:C17"/>
    </sheetView>
  </sheetViews>
  <sheetFormatPr defaultColWidth="9.28515625" defaultRowHeight="12.75"/>
  <cols>
    <col min="1" max="1" width="11.7109375" style="494" bestFit="1" customWidth="1"/>
    <col min="2" max="2" width="128.85546875" style="494" bestFit="1" customWidth="1"/>
    <col min="3" max="3" width="37" style="494" customWidth="1"/>
    <col min="4" max="4" width="50.5703125" style="494" customWidth="1"/>
    <col min="5" max="16384" width="9.28515625" style="494"/>
  </cols>
  <sheetData>
    <row r="1" spans="1:5" ht="13.5">
      <c r="A1" s="381" t="s">
        <v>108</v>
      </c>
      <c r="B1" s="308" t="str">
        <f>Info!C2</f>
        <v>JSC "VTB Bank (Georgia)"</v>
      </c>
    </row>
    <row r="2" spans="1:5">
      <c r="A2" s="383" t="s">
        <v>109</v>
      </c>
      <c r="B2" s="385">
        <f>Info!D2</f>
        <v>45473</v>
      </c>
    </row>
    <row r="3" spans="1:5">
      <c r="A3" s="384" t="s">
        <v>545</v>
      </c>
    </row>
    <row r="4" spans="1:5">
      <c r="A4" s="384"/>
    </row>
    <row r="5" spans="1:5" ht="15" customHeight="1">
      <c r="A5" s="885" t="s">
        <v>546</v>
      </c>
      <c r="B5" s="886"/>
      <c r="C5" s="889" t="s">
        <v>547</v>
      </c>
      <c r="D5" s="889" t="s">
        <v>548</v>
      </c>
    </row>
    <row r="6" spans="1:5">
      <c r="A6" s="887"/>
      <c r="B6" s="888"/>
      <c r="C6" s="889"/>
      <c r="D6" s="889"/>
    </row>
    <row r="7" spans="1:5">
      <c r="A7" s="497">
        <v>1</v>
      </c>
      <c r="B7" s="487" t="s">
        <v>549</v>
      </c>
      <c r="C7" s="726">
        <v>56088078.854486138</v>
      </c>
      <c r="D7" s="507"/>
    </row>
    <row r="8" spans="1:5">
      <c r="A8" s="484">
        <v>2</v>
      </c>
      <c r="B8" s="484" t="s">
        <v>550</v>
      </c>
      <c r="C8" s="724">
        <v>56086386</v>
      </c>
      <c r="D8" s="507"/>
    </row>
    <row r="9" spans="1:5">
      <c r="A9" s="484">
        <v>3</v>
      </c>
      <c r="B9" s="510" t="s">
        <v>551</v>
      </c>
      <c r="C9" s="724">
        <v>997555.22220000625</v>
      </c>
      <c r="D9" s="507"/>
    </row>
    <row r="10" spans="1:5">
      <c r="A10" s="484">
        <v>4</v>
      </c>
      <c r="B10" s="484" t="s">
        <v>552</v>
      </c>
      <c r="C10" s="724">
        <v>12508394.857918467</v>
      </c>
      <c r="D10" s="507"/>
    </row>
    <row r="11" spans="1:5">
      <c r="A11" s="484">
        <v>5</v>
      </c>
      <c r="B11" s="509" t="s">
        <v>881</v>
      </c>
      <c r="C11" s="724">
        <v>0</v>
      </c>
      <c r="D11" s="507"/>
    </row>
    <row r="12" spans="1:5">
      <c r="A12" s="484">
        <v>6</v>
      </c>
      <c r="B12" s="509" t="s">
        <v>553</v>
      </c>
      <c r="C12" s="724">
        <v>1793617.8579184671</v>
      </c>
      <c r="D12" s="507"/>
    </row>
    <row r="13" spans="1:5">
      <c r="A13" s="484">
        <v>7</v>
      </c>
      <c r="B13" s="509" t="s">
        <v>556</v>
      </c>
      <c r="C13" s="724">
        <v>0</v>
      </c>
      <c r="D13" s="507"/>
      <c r="E13" s="664">
        <f>C13-'18. Assets by Exposure classes'!H11</f>
        <v>0</v>
      </c>
    </row>
    <row r="14" spans="1:5">
      <c r="A14" s="484">
        <v>8</v>
      </c>
      <c r="B14" s="509" t="s">
        <v>554</v>
      </c>
      <c r="C14" s="724">
        <v>0</v>
      </c>
      <c r="D14" s="484"/>
    </row>
    <row r="15" spans="1:5">
      <c r="A15" s="484">
        <v>9</v>
      </c>
      <c r="B15" s="509" t="s">
        <v>555</v>
      </c>
      <c r="C15" s="724"/>
      <c r="D15" s="484"/>
    </row>
    <row r="16" spans="1:5">
      <c r="A16" s="484">
        <v>10</v>
      </c>
      <c r="B16" s="509" t="s">
        <v>557</v>
      </c>
      <c r="C16" s="724"/>
      <c r="D16" s="484"/>
    </row>
    <row r="17" spans="1:4" ht="25.5">
      <c r="A17" s="484">
        <v>11</v>
      </c>
      <c r="B17" s="509" t="s">
        <v>558</v>
      </c>
      <c r="C17" s="724">
        <v>10714777</v>
      </c>
      <c r="D17" s="507"/>
    </row>
    <row r="18" spans="1:4">
      <c r="A18" s="497">
        <v>12</v>
      </c>
      <c r="B18" s="508" t="s">
        <v>559</v>
      </c>
      <c r="C18" s="726">
        <f>C7+C8+C9-C10</f>
        <v>100663625.21876767</v>
      </c>
      <c r="D18" s="507"/>
    </row>
    <row r="19" spans="1:4">
      <c r="C19" s="800">
        <f>C18-'18. Assets by Exposure classes'!C22</f>
        <v>0.41517266631126404</v>
      </c>
    </row>
    <row r="20" spans="1:4">
      <c r="C20" s="665"/>
    </row>
    <row r="21" spans="1:4">
      <c r="B21" s="381"/>
      <c r="C21" s="665"/>
    </row>
    <row r="22" spans="1:4">
      <c r="B22" s="383"/>
    </row>
    <row r="23" spans="1:4">
      <c r="B23" s="38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60" zoomScaleNormal="60" workbookViewId="0">
      <selection activeCell="U8" sqref="C8:U29"/>
    </sheetView>
  </sheetViews>
  <sheetFormatPr defaultColWidth="9.28515625" defaultRowHeight="12.75"/>
  <cols>
    <col min="1" max="1" width="11.7109375" style="494" bestFit="1" customWidth="1"/>
    <col min="2" max="2" width="63.85546875" style="494" customWidth="1"/>
    <col min="3" max="3" width="15.5703125" style="494" customWidth="1"/>
    <col min="4" max="18" width="22.28515625" style="494" customWidth="1"/>
    <col min="19" max="19" width="23.28515625" style="494" bestFit="1" customWidth="1"/>
    <col min="20" max="26" width="22.28515625" style="494" customWidth="1"/>
    <col min="27" max="27" width="23.28515625" style="494" bestFit="1" customWidth="1"/>
    <col min="28" max="28" width="20" style="494" customWidth="1"/>
    <col min="29" max="16384" width="9.28515625" style="494"/>
  </cols>
  <sheetData>
    <row r="1" spans="1:28" ht="13.5">
      <c r="A1" s="381" t="s">
        <v>108</v>
      </c>
      <c r="B1" s="308" t="str">
        <f>Info!C2</f>
        <v>JSC "VTB Bank (Georgia)"</v>
      </c>
    </row>
    <row r="2" spans="1:28">
      <c r="A2" s="383" t="s">
        <v>109</v>
      </c>
      <c r="B2" s="385">
        <f>Info!D2</f>
        <v>45473</v>
      </c>
      <c r="C2" s="495"/>
    </row>
    <row r="3" spans="1:28">
      <c r="A3" s="384" t="s">
        <v>560</v>
      </c>
    </row>
    <row r="5" spans="1:28" ht="15" customHeight="1">
      <c r="A5" s="890" t="s">
        <v>894</v>
      </c>
      <c r="B5" s="891"/>
      <c r="C5" s="896" t="s">
        <v>893</v>
      </c>
      <c r="D5" s="897"/>
      <c r="E5" s="897"/>
      <c r="F5" s="897"/>
      <c r="G5" s="897"/>
      <c r="H5" s="897"/>
      <c r="I5" s="897"/>
      <c r="J5" s="897"/>
      <c r="K5" s="897"/>
      <c r="L5" s="897"/>
      <c r="M5" s="897"/>
      <c r="N5" s="897"/>
      <c r="O5" s="897"/>
      <c r="P5" s="897"/>
      <c r="Q5" s="897"/>
      <c r="R5" s="897"/>
      <c r="S5" s="897"/>
      <c r="T5" s="525"/>
      <c r="U5" s="525"/>
      <c r="V5" s="525"/>
      <c r="W5" s="525"/>
      <c r="X5" s="525"/>
      <c r="Y5" s="525"/>
      <c r="Z5" s="525"/>
      <c r="AA5" s="524"/>
      <c r="AB5" s="515"/>
    </row>
    <row r="6" spans="1:28">
      <c r="A6" s="892"/>
      <c r="B6" s="893"/>
      <c r="C6" s="898" t="s">
        <v>66</v>
      </c>
      <c r="D6" s="900" t="s">
        <v>892</v>
      </c>
      <c r="E6" s="900"/>
      <c r="F6" s="900"/>
      <c r="G6" s="900"/>
      <c r="H6" s="901" t="s">
        <v>891</v>
      </c>
      <c r="I6" s="902"/>
      <c r="J6" s="902"/>
      <c r="K6" s="903"/>
      <c r="L6" s="523"/>
      <c r="M6" s="904" t="s">
        <v>890</v>
      </c>
      <c r="N6" s="904"/>
      <c r="O6" s="904"/>
      <c r="P6" s="904"/>
      <c r="Q6" s="904"/>
      <c r="R6" s="904"/>
      <c r="S6" s="880"/>
      <c r="T6" s="522"/>
      <c r="U6" s="883" t="s">
        <v>889</v>
      </c>
      <c r="V6" s="883"/>
      <c r="W6" s="883"/>
      <c r="X6" s="883"/>
      <c r="Y6" s="883"/>
      <c r="Z6" s="883"/>
      <c r="AA6" s="881"/>
      <c r="AB6" s="521"/>
    </row>
    <row r="7" spans="1:28" ht="25.5">
      <c r="A7" s="894"/>
      <c r="B7" s="895"/>
      <c r="C7" s="899"/>
      <c r="D7" s="520"/>
      <c r="E7" s="516" t="s">
        <v>561</v>
      </c>
      <c r="F7" s="491" t="s">
        <v>887</v>
      </c>
      <c r="G7" s="491" t="s">
        <v>888</v>
      </c>
      <c r="H7" s="519"/>
      <c r="I7" s="516" t="s">
        <v>561</v>
      </c>
      <c r="J7" s="491" t="s">
        <v>887</v>
      </c>
      <c r="K7" s="491" t="s">
        <v>888</v>
      </c>
      <c r="L7" s="518"/>
      <c r="M7" s="516" t="s">
        <v>561</v>
      </c>
      <c r="N7" s="491" t="s">
        <v>887</v>
      </c>
      <c r="O7" s="491" t="s">
        <v>886</v>
      </c>
      <c r="P7" s="491" t="s">
        <v>885</v>
      </c>
      <c r="Q7" s="491" t="s">
        <v>884</v>
      </c>
      <c r="R7" s="491" t="s">
        <v>883</v>
      </c>
      <c r="S7" s="491" t="s">
        <v>882</v>
      </c>
      <c r="T7" s="517"/>
      <c r="U7" s="516" t="s">
        <v>561</v>
      </c>
      <c r="V7" s="491" t="s">
        <v>887</v>
      </c>
      <c r="W7" s="491" t="s">
        <v>886</v>
      </c>
      <c r="X7" s="491" t="s">
        <v>885</v>
      </c>
      <c r="Y7" s="491" t="s">
        <v>884</v>
      </c>
      <c r="Z7" s="491" t="s">
        <v>883</v>
      </c>
      <c r="AA7" s="491" t="s">
        <v>882</v>
      </c>
      <c r="AB7" s="515"/>
    </row>
    <row r="8" spans="1:28">
      <c r="A8" s="514">
        <v>1</v>
      </c>
      <c r="B8" s="487" t="s">
        <v>562</v>
      </c>
      <c r="C8" s="695">
        <f>SUM(C9:C14)</f>
        <v>211338247.01399505</v>
      </c>
      <c r="D8" s="695">
        <f t="shared" ref="D8:S8" si="0">SUM(D9:D14)</f>
        <v>76068019.160022929</v>
      </c>
      <c r="E8" s="695">
        <f t="shared" si="0"/>
        <v>76068019.160022944</v>
      </c>
      <c r="F8" s="695">
        <f t="shared" si="0"/>
        <v>0</v>
      </c>
      <c r="G8" s="695">
        <f t="shared" si="0"/>
        <v>0</v>
      </c>
      <c r="H8" s="695">
        <f t="shared" si="0"/>
        <v>34606603.050376967</v>
      </c>
      <c r="I8" s="695">
        <f t="shared" si="0"/>
        <v>31301341.402334969</v>
      </c>
      <c r="J8" s="695">
        <f t="shared" si="0"/>
        <v>3305261.6480420004</v>
      </c>
      <c r="K8" s="695">
        <f t="shared" si="0"/>
        <v>0</v>
      </c>
      <c r="L8" s="695">
        <f t="shared" si="0"/>
        <v>100663624.80359499</v>
      </c>
      <c r="M8" s="695">
        <f t="shared" si="0"/>
        <v>26165778.577320002</v>
      </c>
      <c r="N8" s="695">
        <f t="shared" si="0"/>
        <v>63882.73</v>
      </c>
      <c r="O8" s="695">
        <f t="shared" si="0"/>
        <v>1972309.0832000002</v>
      </c>
      <c r="P8" s="695">
        <f t="shared" si="0"/>
        <v>4447846.5273199994</v>
      </c>
      <c r="Q8" s="695">
        <f t="shared" si="0"/>
        <v>59997576.319955014</v>
      </c>
      <c r="R8" s="695">
        <f t="shared" si="0"/>
        <v>8016231.5658</v>
      </c>
      <c r="S8" s="695">
        <f t="shared" si="0"/>
        <v>0</v>
      </c>
      <c r="T8" s="695">
        <f t="shared" ref="T8:U8" si="1">SUM(T9:T14)</f>
        <v>0</v>
      </c>
      <c r="U8" s="695">
        <f t="shared" si="1"/>
        <v>0</v>
      </c>
      <c r="V8" s="483"/>
      <c r="W8" s="483"/>
      <c r="X8" s="483"/>
      <c r="Y8" s="483"/>
      <c r="Z8" s="483"/>
      <c r="AA8" s="483"/>
      <c r="AB8" s="511"/>
    </row>
    <row r="9" spans="1:28">
      <c r="A9" s="483">
        <v>1.1000000000000001</v>
      </c>
      <c r="B9" s="513" t="s">
        <v>563</v>
      </c>
      <c r="C9" s="759"/>
      <c r="D9" s="724"/>
      <c r="E9" s="724"/>
      <c r="F9" s="724"/>
      <c r="G9" s="724"/>
      <c r="H9" s="724"/>
      <c r="I9" s="724"/>
      <c r="J9" s="724"/>
      <c r="K9" s="724"/>
      <c r="L9" s="724"/>
      <c r="M9" s="724"/>
      <c r="N9" s="724"/>
      <c r="O9" s="724"/>
      <c r="P9" s="724"/>
      <c r="Q9" s="724"/>
      <c r="R9" s="724"/>
      <c r="S9" s="760"/>
      <c r="T9" s="483"/>
      <c r="U9" s="483"/>
      <c r="V9" s="483"/>
      <c r="W9" s="483"/>
      <c r="X9" s="483"/>
      <c r="Y9" s="483"/>
      <c r="Z9" s="483"/>
      <c r="AA9" s="483"/>
      <c r="AB9" s="511"/>
    </row>
    <row r="10" spans="1:28">
      <c r="A10" s="483">
        <v>1.2</v>
      </c>
      <c r="B10" s="513" t="s">
        <v>564</v>
      </c>
      <c r="C10" s="759"/>
      <c r="D10" s="724"/>
      <c r="E10" s="724"/>
      <c r="F10" s="724"/>
      <c r="G10" s="724"/>
      <c r="H10" s="724"/>
      <c r="I10" s="724"/>
      <c r="J10" s="724"/>
      <c r="K10" s="724"/>
      <c r="L10" s="724"/>
      <c r="M10" s="724"/>
      <c r="N10" s="724"/>
      <c r="O10" s="724"/>
      <c r="P10" s="724"/>
      <c r="Q10" s="724"/>
      <c r="R10" s="724"/>
      <c r="S10" s="760"/>
      <c r="T10" s="483"/>
      <c r="U10" s="483"/>
      <c r="V10" s="483"/>
      <c r="W10" s="483"/>
      <c r="X10" s="483"/>
      <c r="Y10" s="483"/>
      <c r="Z10" s="483"/>
      <c r="AA10" s="483"/>
      <c r="AB10" s="511"/>
    </row>
    <row r="11" spans="1:28">
      <c r="A11" s="483">
        <v>1.3</v>
      </c>
      <c r="B11" s="513" t="s">
        <v>565</v>
      </c>
      <c r="C11" s="759"/>
      <c r="D11" s="724"/>
      <c r="E11" s="724"/>
      <c r="F11" s="724"/>
      <c r="G11" s="724"/>
      <c r="H11" s="724"/>
      <c r="I11" s="724"/>
      <c r="J11" s="724"/>
      <c r="K11" s="724"/>
      <c r="L11" s="724"/>
      <c r="M11" s="724"/>
      <c r="N11" s="724"/>
      <c r="O11" s="724"/>
      <c r="P11" s="724"/>
      <c r="Q11" s="724"/>
      <c r="R11" s="724"/>
      <c r="S11" s="760"/>
      <c r="T11" s="483"/>
      <c r="U11" s="483"/>
      <c r="V11" s="483"/>
      <c r="W11" s="483"/>
      <c r="X11" s="483"/>
      <c r="Y11" s="483"/>
      <c r="Z11" s="483"/>
      <c r="AA11" s="483"/>
      <c r="AB11" s="511"/>
    </row>
    <row r="12" spans="1:28">
      <c r="A12" s="483">
        <v>1.4</v>
      </c>
      <c r="B12" s="513" t="s">
        <v>566</v>
      </c>
      <c r="C12" s="759">
        <v>313856.65000000002</v>
      </c>
      <c r="D12" s="724">
        <v>313856.65000000002</v>
      </c>
      <c r="E12" s="724">
        <v>313856.65000000002</v>
      </c>
      <c r="F12" s="724">
        <v>0</v>
      </c>
      <c r="G12" s="724">
        <v>0</v>
      </c>
      <c r="H12" s="724">
        <v>0</v>
      </c>
      <c r="I12" s="724">
        <v>0</v>
      </c>
      <c r="J12" s="724">
        <v>0</v>
      </c>
      <c r="K12" s="724">
        <v>0</v>
      </c>
      <c r="L12" s="724">
        <v>0</v>
      </c>
      <c r="M12" s="724">
        <v>0</v>
      </c>
      <c r="N12" s="724">
        <v>0</v>
      </c>
      <c r="O12" s="724">
        <v>0</v>
      </c>
      <c r="P12" s="724">
        <v>0</v>
      </c>
      <c r="Q12" s="724">
        <v>0</v>
      </c>
      <c r="R12" s="724">
        <v>0</v>
      </c>
      <c r="S12" s="760">
        <v>0</v>
      </c>
      <c r="T12" s="483"/>
      <c r="U12" s="483"/>
      <c r="V12" s="483"/>
      <c r="W12" s="483"/>
      <c r="X12" s="483"/>
      <c r="Y12" s="483"/>
      <c r="Z12" s="483"/>
      <c r="AA12" s="483"/>
      <c r="AB12" s="511"/>
    </row>
    <row r="13" spans="1:28">
      <c r="A13" s="483">
        <v>1.5</v>
      </c>
      <c r="B13" s="513" t="s">
        <v>567</v>
      </c>
      <c r="C13" s="759">
        <v>200841870.75800905</v>
      </c>
      <c r="D13" s="724">
        <v>67726035.845696926</v>
      </c>
      <c r="E13" s="724">
        <v>67726035.845696941</v>
      </c>
      <c r="F13" s="724">
        <v>0</v>
      </c>
      <c r="G13" s="724">
        <v>0</v>
      </c>
      <c r="H13" s="724">
        <v>34600888.490376964</v>
      </c>
      <c r="I13" s="724">
        <v>31301341.402334969</v>
      </c>
      <c r="J13" s="724">
        <v>3299547.0880420003</v>
      </c>
      <c r="K13" s="724">
        <v>0</v>
      </c>
      <c r="L13" s="724">
        <v>98514946.421934992</v>
      </c>
      <c r="M13" s="724">
        <v>26131026.190580003</v>
      </c>
      <c r="N13" s="724">
        <v>63882.73</v>
      </c>
      <c r="O13" s="724">
        <v>1961331.4473000001</v>
      </c>
      <c r="P13" s="724">
        <v>4215740.2382999994</v>
      </c>
      <c r="Q13" s="724">
        <v>58304607.139955014</v>
      </c>
      <c r="R13" s="724">
        <v>7838358.6758000003</v>
      </c>
      <c r="S13" s="760">
        <v>0</v>
      </c>
      <c r="T13" s="483"/>
      <c r="U13" s="483"/>
      <c r="V13" s="483"/>
      <c r="W13" s="483"/>
      <c r="X13" s="483"/>
      <c r="Y13" s="483"/>
      <c r="Z13" s="483"/>
      <c r="AA13" s="483"/>
      <c r="AB13" s="511"/>
    </row>
    <row r="14" spans="1:28">
      <c r="A14" s="483">
        <v>1.6</v>
      </c>
      <c r="B14" s="513" t="s">
        <v>568</v>
      </c>
      <c r="C14" s="759">
        <v>10182519.605986007</v>
      </c>
      <c r="D14" s="724">
        <v>8028126.6643259991</v>
      </c>
      <c r="E14" s="724">
        <v>8028126.6643259972</v>
      </c>
      <c r="F14" s="724">
        <v>0</v>
      </c>
      <c r="G14" s="724">
        <v>0</v>
      </c>
      <c r="H14" s="724">
        <v>5714.5599999999995</v>
      </c>
      <c r="I14" s="724">
        <v>0</v>
      </c>
      <c r="J14" s="724">
        <v>5714.5599999999995</v>
      </c>
      <c r="K14" s="724">
        <v>0</v>
      </c>
      <c r="L14" s="724">
        <v>2148678.38166</v>
      </c>
      <c r="M14" s="724">
        <v>34752.386740000002</v>
      </c>
      <c r="N14" s="724">
        <v>0</v>
      </c>
      <c r="O14" s="724">
        <v>10977.635899999999</v>
      </c>
      <c r="P14" s="724">
        <v>232106.28902</v>
      </c>
      <c r="Q14" s="724">
        <v>1692969.18</v>
      </c>
      <c r="R14" s="724">
        <v>177872.89</v>
      </c>
      <c r="S14" s="760">
        <v>0</v>
      </c>
      <c r="T14" s="483"/>
      <c r="U14" s="483"/>
      <c r="V14" s="483"/>
      <c r="W14" s="483"/>
      <c r="X14" s="483"/>
      <c r="Y14" s="483"/>
      <c r="Z14" s="483"/>
      <c r="AA14" s="483"/>
      <c r="AB14" s="511"/>
    </row>
    <row r="15" spans="1:28">
      <c r="A15" s="514">
        <v>2</v>
      </c>
      <c r="B15" s="497" t="s">
        <v>569</v>
      </c>
      <c r="C15" s="695">
        <f>SUM(C16:C21)</f>
        <v>0</v>
      </c>
      <c r="D15" s="695">
        <f>SUM(D16:D21)</f>
        <v>0</v>
      </c>
      <c r="E15" s="695">
        <f t="shared" ref="E15:S15" si="2">SUM(E16:E21)</f>
        <v>0</v>
      </c>
      <c r="F15" s="695">
        <f t="shared" si="2"/>
        <v>0</v>
      </c>
      <c r="G15" s="695">
        <f t="shared" si="2"/>
        <v>0</v>
      </c>
      <c r="H15" s="695">
        <f t="shared" si="2"/>
        <v>0</v>
      </c>
      <c r="I15" s="695">
        <f t="shared" si="2"/>
        <v>0</v>
      </c>
      <c r="J15" s="695">
        <f t="shared" si="2"/>
        <v>0</v>
      </c>
      <c r="K15" s="695">
        <f t="shared" si="2"/>
        <v>0</v>
      </c>
      <c r="L15" s="695">
        <f t="shared" si="2"/>
        <v>0</v>
      </c>
      <c r="M15" s="695">
        <f t="shared" si="2"/>
        <v>0</v>
      </c>
      <c r="N15" s="695">
        <f t="shared" si="2"/>
        <v>0</v>
      </c>
      <c r="O15" s="695">
        <f t="shared" si="2"/>
        <v>0</v>
      </c>
      <c r="P15" s="695">
        <f t="shared" si="2"/>
        <v>0</v>
      </c>
      <c r="Q15" s="695">
        <f t="shared" si="2"/>
        <v>0</v>
      </c>
      <c r="R15" s="695">
        <f t="shared" si="2"/>
        <v>0</v>
      </c>
      <c r="S15" s="695">
        <f t="shared" si="2"/>
        <v>0</v>
      </c>
      <c r="T15" s="695">
        <f t="shared" ref="T15:U15" si="3">SUM(T16:T21)</f>
        <v>0</v>
      </c>
      <c r="U15" s="695">
        <f t="shared" si="3"/>
        <v>0</v>
      </c>
      <c r="V15" s="483"/>
      <c r="W15" s="483"/>
      <c r="X15" s="483"/>
      <c r="Y15" s="483"/>
      <c r="Z15" s="483"/>
      <c r="AA15" s="483"/>
      <c r="AB15" s="511"/>
    </row>
    <row r="16" spans="1:28">
      <c r="A16" s="483">
        <v>2.1</v>
      </c>
      <c r="B16" s="513" t="s">
        <v>563</v>
      </c>
      <c r="C16" s="761"/>
      <c r="D16" s="760"/>
      <c r="E16" s="760"/>
      <c r="F16" s="760"/>
      <c r="G16" s="760"/>
      <c r="H16" s="760"/>
      <c r="I16" s="760"/>
      <c r="J16" s="760"/>
      <c r="K16" s="760"/>
      <c r="L16" s="760"/>
      <c r="M16" s="760"/>
      <c r="N16" s="760"/>
      <c r="O16" s="760"/>
      <c r="P16" s="760"/>
      <c r="Q16" s="760"/>
      <c r="R16" s="760"/>
      <c r="S16" s="760"/>
      <c r="T16" s="483"/>
      <c r="U16" s="483"/>
      <c r="V16" s="483"/>
      <c r="W16" s="483"/>
      <c r="X16" s="483"/>
      <c r="Y16" s="483"/>
      <c r="Z16" s="483"/>
      <c r="AA16" s="483"/>
      <c r="AB16" s="511"/>
    </row>
    <row r="17" spans="1:28">
      <c r="A17" s="483">
        <v>2.2000000000000002</v>
      </c>
      <c r="B17" s="513" t="s">
        <v>564</v>
      </c>
      <c r="C17" s="761"/>
      <c r="D17" s="760"/>
      <c r="E17" s="760"/>
      <c r="F17" s="760"/>
      <c r="G17" s="760"/>
      <c r="H17" s="760"/>
      <c r="I17" s="760"/>
      <c r="J17" s="760"/>
      <c r="K17" s="760"/>
      <c r="L17" s="760"/>
      <c r="M17" s="760"/>
      <c r="N17" s="760"/>
      <c r="O17" s="760"/>
      <c r="P17" s="760"/>
      <c r="Q17" s="760"/>
      <c r="R17" s="760"/>
      <c r="S17" s="760"/>
      <c r="T17" s="483"/>
      <c r="U17" s="483"/>
      <c r="V17" s="483"/>
      <c r="W17" s="483"/>
      <c r="X17" s="483"/>
      <c r="Y17" s="483"/>
      <c r="Z17" s="483"/>
      <c r="AA17" s="483"/>
      <c r="AB17" s="511"/>
    </row>
    <row r="18" spans="1:28">
      <c r="A18" s="483">
        <v>2.2999999999999998</v>
      </c>
      <c r="B18" s="513" t="s">
        <v>565</v>
      </c>
      <c r="C18" s="761"/>
      <c r="D18" s="760"/>
      <c r="E18" s="760"/>
      <c r="F18" s="760"/>
      <c r="G18" s="760"/>
      <c r="H18" s="760"/>
      <c r="I18" s="760"/>
      <c r="J18" s="760"/>
      <c r="K18" s="760"/>
      <c r="L18" s="760"/>
      <c r="M18" s="760"/>
      <c r="N18" s="760"/>
      <c r="O18" s="760"/>
      <c r="P18" s="760"/>
      <c r="Q18" s="760"/>
      <c r="R18" s="760"/>
      <c r="S18" s="760"/>
      <c r="T18" s="483"/>
      <c r="U18" s="483"/>
      <c r="V18" s="483"/>
      <c r="W18" s="483"/>
      <c r="X18" s="483"/>
      <c r="Y18" s="483"/>
      <c r="Z18" s="483"/>
      <c r="AA18" s="483"/>
      <c r="AB18" s="511"/>
    </row>
    <row r="19" spans="1:28">
      <c r="A19" s="483">
        <v>2.4</v>
      </c>
      <c r="B19" s="513" t="s">
        <v>566</v>
      </c>
      <c r="C19" s="761"/>
      <c r="D19" s="760"/>
      <c r="E19" s="760"/>
      <c r="F19" s="760"/>
      <c r="G19" s="760"/>
      <c r="H19" s="760"/>
      <c r="I19" s="760"/>
      <c r="J19" s="760"/>
      <c r="K19" s="760"/>
      <c r="L19" s="760"/>
      <c r="M19" s="760"/>
      <c r="N19" s="760"/>
      <c r="O19" s="760"/>
      <c r="P19" s="760"/>
      <c r="Q19" s="760"/>
      <c r="R19" s="760"/>
      <c r="S19" s="760"/>
      <c r="T19" s="483"/>
      <c r="U19" s="483"/>
      <c r="V19" s="483"/>
      <c r="W19" s="483"/>
      <c r="X19" s="483"/>
      <c r="Y19" s="483"/>
      <c r="Z19" s="483"/>
      <c r="AA19" s="483"/>
      <c r="AB19" s="511"/>
    </row>
    <row r="20" spans="1:28">
      <c r="A20" s="483">
        <v>2.5</v>
      </c>
      <c r="B20" s="513" t="s">
        <v>567</v>
      </c>
      <c r="C20" s="761"/>
      <c r="D20" s="760"/>
      <c r="E20" s="760"/>
      <c r="F20" s="760"/>
      <c r="G20" s="760"/>
      <c r="H20" s="760"/>
      <c r="I20" s="760"/>
      <c r="J20" s="760"/>
      <c r="K20" s="760"/>
      <c r="L20" s="760"/>
      <c r="M20" s="760"/>
      <c r="N20" s="760"/>
      <c r="O20" s="760"/>
      <c r="P20" s="760"/>
      <c r="Q20" s="760"/>
      <c r="R20" s="760"/>
      <c r="S20" s="760"/>
      <c r="T20" s="483"/>
      <c r="U20" s="483"/>
      <c r="V20" s="483"/>
      <c r="W20" s="483"/>
      <c r="X20" s="483"/>
      <c r="Y20" s="483"/>
      <c r="Z20" s="483"/>
      <c r="AA20" s="483"/>
      <c r="AB20" s="511"/>
    </row>
    <row r="21" spans="1:28">
      <c r="A21" s="483">
        <v>2.6</v>
      </c>
      <c r="B21" s="513" t="s">
        <v>568</v>
      </c>
      <c r="C21" s="761"/>
      <c r="D21" s="760"/>
      <c r="E21" s="760"/>
      <c r="F21" s="760"/>
      <c r="G21" s="760"/>
      <c r="H21" s="760"/>
      <c r="I21" s="760"/>
      <c r="J21" s="760"/>
      <c r="K21" s="760"/>
      <c r="L21" s="760"/>
      <c r="M21" s="760"/>
      <c r="N21" s="760"/>
      <c r="O21" s="760"/>
      <c r="P21" s="760"/>
      <c r="Q21" s="760"/>
      <c r="R21" s="760"/>
      <c r="S21" s="760"/>
      <c r="T21" s="483"/>
      <c r="U21" s="483"/>
      <c r="V21" s="483"/>
      <c r="W21" s="483"/>
      <c r="X21" s="483"/>
      <c r="Y21" s="483"/>
      <c r="Z21" s="483"/>
      <c r="AA21" s="483"/>
      <c r="AB21" s="511"/>
    </row>
    <row r="22" spans="1:28">
      <c r="A22" s="514">
        <v>3</v>
      </c>
      <c r="B22" s="487" t="s">
        <v>570</v>
      </c>
      <c r="C22" s="695">
        <f>SUM(C23:C28)</f>
        <v>2879252.8764</v>
      </c>
      <c r="D22" s="695">
        <f>SUM(D23:D28)</f>
        <v>2879252.8764</v>
      </c>
      <c r="E22" s="695">
        <f t="shared" ref="E22:S22" si="4">SUM(E23:E28)</f>
        <v>0</v>
      </c>
      <c r="F22" s="696">
        <f t="shared" si="4"/>
        <v>0</v>
      </c>
      <c r="G22" s="695">
        <f t="shared" si="4"/>
        <v>0</v>
      </c>
      <c r="H22" s="696">
        <f t="shared" si="4"/>
        <v>0</v>
      </c>
      <c r="I22" s="696">
        <f t="shared" si="4"/>
        <v>0</v>
      </c>
      <c r="J22" s="696">
        <f t="shared" si="4"/>
        <v>0</v>
      </c>
      <c r="K22" s="696">
        <f t="shared" si="4"/>
        <v>0</v>
      </c>
      <c r="L22" s="695">
        <f t="shared" si="4"/>
        <v>0</v>
      </c>
      <c r="M22" s="696">
        <f t="shared" si="4"/>
        <v>0</v>
      </c>
      <c r="N22" s="696">
        <f t="shared" si="4"/>
        <v>0</v>
      </c>
      <c r="O22" s="696">
        <f t="shared" si="4"/>
        <v>0</v>
      </c>
      <c r="P22" s="696">
        <f t="shared" si="4"/>
        <v>0</v>
      </c>
      <c r="Q22" s="696">
        <f t="shared" si="4"/>
        <v>0</v>
      </c>
      <c r="R22" s="696">
        <f t="shared" si="4"/>
        <v>0</v>
      </c>
      <c r="S22" s="696">
        <f t="shared" si="4"/>
        <v>0</v>
      </c>
      <c r="T22" s="696">
        <f t="shared" ref="T22:U22" si="5">SUM(T23:T28)</f>
        <v>0</v>
      </c>
      <c r="U22" s="695">
        <f t="shared" si="5"/>
        <v>0</v>
      </c>
      <c r="V22" s="512"/>
      <c r="W22" s="512"/>
      <c r="X22" s="512"/>
      <c r="Y22" s="512"/>
      <c r="Z22" s="512"/>
      <c r="AA22" s="512"/>
      <c r="AB22" s="511"/>
    </row>
    <row r="23" spans="1:28">
      <c r="A23" s="483">
        <v>3.1</v>
      </c>
      <c r="B23" s="513" t="s">
        <v>563</v>
      </c>
      <c r="C23" s="762"/>
      <c r="D23" s="763"/>
      <c r="E23" s="764"/>
      <c r="F23" s="764"/>
      <c r="G23" s="764"/>
      <c r="H23" s="763"/>
      <c r="I23" s="764"/>
      <c r="J23" s="764"/>
      <c r="K23" s="764"/>
      <c r="L23" s="763"/>
      <c r="M23" s="764"/>
      <c r="N23" s="764"/>
      <c r="O23" s="764"/>
      <c r="P23" s="764"/>
      <c r="Q23" s="764"/>
      <c r="R23" s="764"/>
      <c r="S23" s="765"/>
      <c r="T23" s="487"/>
      <c r="U23" s="512"/>
      <c r="V23" s="512"/>
      <c r="W23" s="512"/>
      <c r="X23" s="512"/>
      <c r="Y23" s="512"/>
      <c r="Z23" s="512"/>
      <c r="AA23" s="512"/>
      <c r="AB23" s="511"/>
    </row>
    <row r="24" spans="1:28">
      <c r="A24" s="483">
        <v>3.2</v>
      </c>
      <c r="B24" s="513" t="s">
        <v>564</v>
      </c>
      <c r="C24" s="762"/>
      <c r="D24" s="763"/>
      <c r="E24" s="764"/>
      <c r="F24" s="764"/>
      <c r="G24" s="764"/>
      <c r="H24" s="763"/>
      <c r="I24" s="764"/>
      <c r="J24" s="764"/>
      <c r="K24" s="764"/>
      <c r="L24" s="763"/>
      <c r="M24" s="764"/>
      <c r="N24" s="764"/>
      <c r="O24" s="764"/>
      <c r="P24" s="764"/>
      <c r="Q24" s="764"/>
      <c r="R24" s="764"/>
      <c r="S24" s="765"/>
      <c r="T24" s="487"/>
      <c r="U24" s="512"/>
      <c r="V24" s="512"/>
      <c r="W24" s="512"/>
      <c r="X24" s="512"/>
      <c r="Y24" s="512"/>
      <c r="Z24" s="512"/>
      <c r="AA24" s="512"/>
      <c r="AB24" s="511"/>
    </row>
    <row r="25" spans="1:28">
      <c r="A25" s="483">
        <v>3.3</v>
      </c>
      <c r="B25" s="513" t="s">
        <v>565</v>
      </c>
      <c r="C25" s="762"/>
      <c r="D25" s="763"/>
      <c r="E25" s="764"/>
      <c r="F25" s="764"/>
      <c r="G25" s="764"/>
      <c r="H25" s="763"/>
      <c r="I25" s="764"/>
      <c r="J25" s="764"/>
      <c r="K25" s="764"/>
      <c r="L25" s="763"/>
      <c r="M25" s="764"/>
      <c r="N25" s="764"/>
      <c r="O25" s="764"/>
      <c r="P25" s="764"/>
      <c r="Q25" s="764"/>
      <c r="R25" s="764"/>
      <c r="S25" s="765"/>
      <c r="T25" s="487"/>
      <c r="U25" s="512"/>
      <c r="V25" s="512"/>
      <c r="W25" s="512"/>
      <c r="X25" s="512"/>
      <c r="Y25" s="512"/>
      <c r="Z25" s="512"/>
      <c r="AA25" s="512"/>
      <c r="AB25" s="511"/>
    </row>
    <row r="26" spans="1:28">
      <c r="A26" s="483">
        <v>3.4</v>
      </c>
      <c r="B26" s="513" t="s">
        <v>566</v>
      </c>
      <c r="C26" s="762">
        <v>0</v>
      </c>
      <c r="D26" s="763">
        <v>0</v>
      </c>
      <c r="E26" s="764"/>
      <c r="F26" s="764"/>
      <c r="G26" s="764"/>
      <c r="H26" s="763">
        <v>0</v>
      </c>
      <c r="I26" s="764"/>
      <c r="J26" s="764"/>
      <c r="K26" s="764"/>
      <c r="L26" s="763">
        <v>0</v>
      </c>
      <c r="M26" s="764"/>
      <c r="N26" s="764"/>
      <c r="O26" s="764"/>
      <c r="P26" s="764"/>
      <c r="Q26" s="764"/>
      <c r="R26" s="764"/>
      <c r="S26" s="765"/>
      <c r="T26" s="487"/>
      <c r="U26" s="512"/>
      <c r="V26" s="512"/>
      <c r="W26" s="512"/>
      <c r="X26" s="512"/>
      <c r="Y26" s="512"/>
      <c r="Z26" s="512"/>
      <c r="AA26" s="512"/>
      <c r="AB26" s="511"/>
    </row>
    <row r="27" spans="1:28">
      <c r="A27" s="483">
        <v>3.5</v>
      </c>
      <c r="B27" s="513" t="s">
        <v>567</v>
      </c>
      <c r="C27" s="789">
        <v>2879252.8764</v>
      </c>
      <c r="D27" s="789">
        <v>2879252.8764</v>
      </c>
      <c r="E27" s="764"/>
      <c r="F27" s="764"/>
      <c r="G27" s="764"/>
      <c r="H27" s="763">
        <v>0</v>
      </c>
      <c r="I27" s="764"/>
      <c r="J27" s="764"/>
      <c r="K27" s="764"/>
      <c r="L27" s="763">
        <v>0</v>
      </c>
      <c r="M27" s="764"/>
      <c r="N27" s="764"/>
      <c r="O27" s="764"/>
      <c r="P27" s="764"/>
      <c r="Q27" s="764"/>
      <c r="R27" s="764"/>
      <c r="S27" s="765"/>
      <c r="T27" s="487"/>
      <c r="U27" s="512"/>
      <c r="V27" s="512"/>
      <c r="W27" s="512"/>
      <c r="X27" s="512"/>
      <c r="Y27" s="512"/>
      <c r="Z27" s="512">
        <v>0</v>
      </c>
      <c r="AA27" s="512"/>
      <c r="AB27" s="511"/>
    </row>
    <row r="28" spans="1:28">
      <c r="A28" s="483">
        <v>3.6</v>
      </c>
      <c r="B28" s="513" t="s">
        <v>568</v>
      </c>
      <c r="C28" s="761"/>
      <c r="D28" s="766"/>
      <c r="E28" s="765"/>
      <c r="F28" s="765"/>
      <c r="G28" s="765"/>
      <c r="H28" s="766"/>
      <c r="I28" s="765"/>
      <c r="J28" s="765"/>
      <c r="K28" s="765"/>
      <c r="L28" s="766"/>
      <c r="M28" s="765"/>
      <c r="N28" s="765"/>
      <c r="O28" s="765"/>
      <c r="P28" s="765"/>
      <c r="Q28" s="765"/>
      <c r="R28" s="765"/>
      <c r="S28" s="765"/>
      <c r="T28" s="487"/>
      <c r="U28" s="512"/>
      <c r="V28" s="512"/>
      <c r="W28" s="512"/>
      <c r="X28" s="512"/>
      <c r="Y28" s="512"/>
      <c r="Z28" s="512"/>
      <c r="AA28" s="512"/>
      <c r="AB28" s="51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topLeftCell="P1" zoomScale="80" zoomScaleNormal="80" workbookViewId="0">
      <selection activeCell="C8" sqref="C8:Y24"/>
    </sheetView>
  </sheetViews>
  <sheetFormatPr defaultColWidth="9.28515625" defaultRowHeight="12.75"/>
  <cols>
    <col min="1" max="1" width="11.7109375" style="494" bestFit="1" customWidth="1"/>
    <col min="2" max="2" width="90.28515625" style="494" bestFit="1" customWidth="1"/>
    <col min="3" max="3" width="20.28515625" style="494" customWidth="1"/>
    <col min="4" max="4" width="22.28515625" style="494" customWidth="1"/>
    <col min="5" max="7" width="17.140625" style="494" customWidth="1"/>
    <col min="8" max="8" width="22.28515625" style="494" customWidth="1"/>
    <col min="9" max="10" width="17.140625" style="494" customWidth="1"/>
    <col min="11" max="27" width="22.28515625" style="494" customWidth="1"/>
    <col min="28" max="16384" width="9.28515625" style="494"/>
  </cols>
  <sheetData>
    <row r="1" spans="1:27" ht="13.5">
      <c r="A1" s="381" t="s">
        <v>108</v>
      </c>
      <c r="B1" s="308" t="str">
        <f>Info!C2</f>
        <v>JSC "VTB Bank (Georgia)"</v>
      </c>
    </row>
    <row r="2" spans="1:27">
      <c r="A2" s="383" t="s">
        <v>109</v>
      </c>
      <c r="B2" s="385">
        <f>Info!D2</f>
        <v>45473</v>
      </c>
    </row>
    <row r="3" spans="1:27">
      <c r="A3" s="384" t="s">
        <v>571</v>
      </c>
      <c r="C3" s="496"/>
    </row>
    <row r="4" spans="1:27" ht="13.5" thickBot="1">
      <c r="A4" s="384"/>
      <c r="B4" s="496"/>
      <c r="C4" s="496"/>
    </row>
    <row r="5" spans="1:27" s="526" customFormat="1" ht="13.5" customHeight="1">
      <c r="A5" s="909" t="s">
        <v>901</v>
      </c>
      <c r="B5" s="910"/>
      <c r="C5" s="906" t="s">
        <v>572</v>
      </c>
      <c r="D5" s="907"/>
      <c r="E5" s="907"/>
      <c r="F5" s="907"/>
      <c r="G5" s="907"/>
      <c r="H5" s="907"/>
      <c r="I5" s="907"/>
      <c r="J5" s="907"/>
      <c r="K5" s="907"/>
      <c r="L5" s="907"/>
      <c r="M5" s="907"/>
      <c r="N5" s="907"/>
      <c r="O5" s="907"/>
      <c r="P5" s="907"/>
      <c r="Q5" s="907"/>
      <c r="R5" s="907"/>
      <c r="S5" s="907"/>
      <c r="T5" s="907"/>
      <c r="U5" s="907"/>
      <c r="V5" s="907"/>
      <c r="W5" s="907"/>
      <c r="X5" s="907"/>
      <c r="Y5" s="907"/>
      <c r="Z5" s="907"/>
      <c r="AA5" s="908"/>
    </row>
    <row r="6" spans="1:27" s="526" customFormat="1" ht="12" customHeight="1">
      <c r="A6" s="911"/>
      <c r="B6" s="912"/>
      <c r="C6" s="916" t="s">
        <v>66</v>
      </c>
      <c r="D6" s="915" t="s">
        <v>892</v>
      </c>
      <c r="E6" s="915"/>
      <c r="F6" s="915"/>
      <c r="G6" s="915"/>
      <c r="H6" s="901" t="s">
        <v>891</v>
      </c>
      <c r="I6" s="902"/>
      <c r="J6" s="902"/>
      <c r="K6" s="902"/>
      <c r="L6" s="522"/>
      <c r="M6" s="883" t="s">
        <v>890</v>
      </c>
      <c r="N6" s="883"/>
      <c r="O6" s="883"/>
      <c r="P6" s="883"/>
      <c r="Q6" s="883"/>
      <c r="R6" s="883"/>
      <c r="S6" s="881"/>
      <c r="T6" s="522"/>
      <c r="U6" s="883" t="s">
        <v>889</v>
      </c>
      <c r="V6" s="883"/>
      <c r="W6" s="883"/>
      <c r="X6" s="883"/>
      <c r="Y6" s="883"/>
      <c r="Z6" s="883"/>
      <c r="AA6" s="905"/>
    </row>
    <row r="7" spans="1:27" s="526" customFormat="1" ht="38.25">
      <c r="A7" s="913"/>
      <c r="B7" s="914"/>
      <c r="C7" s="917"/>
      <c r="D7" s="520"/>
      <c r="E7" s="516" t="s">
        <v>561</v>
      </c>
      <c r="F7" s="491" t="s">
        <v>887</v>
      </c>
      <c r="G7" s="491" t="s">
        <v>888</v>
      </c>
      <c r="H7" s="547"/>
      <c r="I7" s="516" t="s">
        <v>561</v>
      </c>
      <c r="J7" s="491" t="s">
        <v>887</v>
      </c>
      <c r="K7" s="491" t="s">
        <v>888</v>
      </c>
      <c r="L7" s="517"/>
      <c r="M7" s="516" t="s">
        <v>561</v>
      </c>
      <c r="N7" s="491" t="s">
        <v>900</v>
      </c>
      <c r="O7" s="491" t="s">
        <v>899</v>
      </c>
      <c r="P7" s="491" t="s">
        <v>898</v>
      </c>
      <c r="Q7" s="491" t="s">
        <v>897</v>
      </c>
      <c r="R7" s="491" t="s">
        <v>896</v>
      </c>
      <c r="S7" s="491" t="s">
        <v>882</v>
      </c>
      <c r="T7" s="517"/>
      <c r="U7" s="516" t="s">
        <v>561</v>
      </c>
      <c r="V7" s="491" t="s">
        <v>900</v>
      </c>
      <c r="W7" s="491" t="s">
        <v>899</v>
      </c>
      <c r="X7" s="491" t="s">
        <v>898</v>
      </c>
      <c r="Y7" s="491" t="s">
        <v>897</v>
      </c>
      <c r="Z7" s="491" t="s">
        <v>896</v>
      </c>
      <c r="AA7" s="491" t="s">
        <v>882</v>
      </c>
    </row>
    <row r="8" spans="1:27">
      <c r="A8" s="546">
        <v>1</v>
      </c>
      <c r="B8" s="545" t="s">
        <v>562</v>
      </c>
      <c r="C8" s="700">
        <v>211338247.01399481</v>
      </c>
      <c r="D8" s="724">
        <v>76068019.1600229</v>
      </c>
      <c r="E8" s="724">
        <v>76068019.160022929</v>
      </c>
      <c r="F8" s="724">
        <v>0</v>
      </c>
      <c r="G8" s="724">
        <v>0</v>
      </c>
      <c r="H8" s="724">
        <v>34606603.050376967</v>
      </c>
      <c r="I8" s="724">
        <v>31301341.402334969</v>
      </c>
      <c r="J8" s="724">
        <v>3305261.6480420004</v>
      </c>
      <c r="K8" s="724">
        <v>0</v>
      </c>
      <c r="L8" s="724">
        <v>100663624.80359493</v>
      </c>
      <c r="M8" s="724">
        <v>26165778.577320002</v>
      </c>
      <c r="N8" s="724">
        <v>63882.73</v>
      </c>
      <c r="O8" s="724">
        <v>1972309.0831999998</v>
      </c>
      <c r="P8" s="724">
        <v>4447846.5273200003</v>
      </c>
      <c r="Q8" s="724">
        <v>59997576.319954984</v>
      </c>
      <c r="R8" s="724">
        <v>8016231.5658000009</v>
      </c>
      <c r="S8" s="724">
        <v>0</v>
      </c>
      <c r="T8" s="760"/>
      <c r="U8" s="760"/>
      <c r="V8" s="760"/>
      <c r="W8" s="760"/>
      <c r="X8" s="760"/>
      <c r="Y8" s="760"/>
      <c r="Z8" s="760"/>
      <c r="AA8" s="767"/>
    </row>
    <row r="9" spans="1:27">
      <c r="A9" s="543">
        <v>1.1000000000000001</v>
      </c>
      <c r="B9" s="544" t="s">
        <v>573</v>
      </c>
      <c r="C9" s="768">
        <v>200441960.00177491</v>
      </c>
      <c r="D9" s="724">
        <v>68874552.268442944</v>
      </c>
      <c r="E9" s="724">
        <v>68874552.268442944</v>
      </c>
      <c r="F9" s="724">
        <v>0</v>
      </c>
      <c r="G9" s="724">
        <v>0</v>
      </c>
      <c r="H9" s="724">
        <v>34600888.490376964</v>
      </c>
      <c r="I9" s="724">
        <v>31301341.402334969</v>
      </c>
      <c r="J9" s="724">
        <v>3299547.0880420003</v>
      </c>
      <c r="K9" s="724">
        <v>0</v>
      </c>
      <c r="L9" s="724">
        <v>96966519.242954984</v>
      </c>
      <c r="M9" s="724">
        <v>26140313.531900004</v>
      </c>
      <c r="N9" s="724">
        <v>63882.73</v>
      </c>
      <c r="O9" s="724">
        <v>540319.61590000009</v>
      </c>
      <c r="P9" s="724">
        <v>4391905.1832999997</v>
      </c>
      <c r="Q9" s="724">
        <v>58436395.339955002</v>
      </c>
      <c r="R9" s="724">
        <v>7393702.8419000003</v>
      </c>
      <c r="S9" s="724">
        <v>0</v>
      </c>
      <c r="T9" s="760"/>
      <c r="U9" s="760"/>
      <c r="V9" s="760"/>
      <c r="W9" s="760"/>
      <c r="X9" s="760"/>
      <c r="Y9" s="760"/>
      <c r="Z9" s="760"/>
      <c r="AA9" s="767"/>
    </row>
    <row r="10" spans="1:27">
      <c r="A10" s="541" t="s">
        <v>157</v>
      </c>
      <c r="B10" s="542" t="s">
        <v>574</v>
      </c>
      <c r="C10" s="769">
        <v>189501155.96386188</v>
      </c>
      <c r="D10" s="724">
        <v>62742775.133389935</v>
      </c>
      <c r="E10" s="724">
        <v>62742775.133389942</v>
      </c>
      <c r="F10" s="724">
        <v>0</v>
      </c>
      <c r="G10" s="724">
        <v>0</v>
      </c>
      <c r="H10" s="724">
        <v>34600888.490376964</v>
      </c>
      <c r="I10" s="724">
        <v>31301341.402334969</v>
      </c>
      <c r="J10" s="724">
        <v>3299547.0880420003</v>
      </c>
      <c r="K10" s="724">
        <v>0</v>
      </c>
      <c r="L10" s="724">
        <v>92157492.340094984</v>
      </c>
      <c r="M10" s="724">
        <v>26140313.531900004</v>
      </c>
      <c r="N10" s="724">
        <v>0</v>
      </c>
      <c r="O10" s="724">
        <v>532990.96590000007</v>
      </c>
      <c r="P10" s="724">
        <v>4391905.1832999997</v>
      </c>
      <c r="Q10" s="724">
        <v>53698579.817095004</v>
      </c>
      <c r="R10" s="724">
        <v>7393702.8419000003</v>
      </c>
      <c r="S10" s="724">
        <v>0</v>
      </c>
      <c r="T10" s="760"/>
      <c r="U10" s="760"/>
      <c r="V10" s="760"/>
      <c r="W10" s="760"/>
      <c r="X10" s="760"/>
      <c r="Y10" s="760"/>
      <c r="Z10" s="760"/>
      <c r="AA10" s="767"/>
    </row>
    <row r="11" spans="1:27">
      <c r="A11" s="540" t="s">
        <v>575</v>
      </c>
      <c r="B11" s="539" t="s">
        <v>576</v>
      </c>
      <c r="C11" s="770">
        <v>65378127.161848836</v>
      </c>
      <c r="D11" s="724">
        <v>30605710.106098935</v>
      </c>
      <c r="E11" s="724">
        <v>30605710.106098935</v>
      </c>
      <c r="F11" s="724">
        <v>0</v>
      </c>
      <c r="G11" s="724">
        <v>0</v>
      </c>
      <c r="H11" s="724">
        <v>6689012.6302348971</v>
      </c>
      <c r="I11" s="724">
        <v>3389465.5421928968</v>
      </c>
      <c r="J11" s="724">
        <v>3299547.0880420003</v>
      </c>
      <c r="K11" s="724">
        <v>0</v>
      </c>
      <c r="L11" s="724">
        <v>28083404.425515004</v>
      </c>
      <c r="M11" s="724">
        <v>16930935.068520002</v>
      </c>
      <c r="N11" s="724">
        <v>0</v>
      </c>
      <c r="O11" s="724">
        <v>0</v>
      </c>
      <c r="P11" s="724">
        <v>1262425.5382999999</v>
      </c>
      <c r="Q11" s="724">
        <v>9890043.8186949994</v>
      </c>
      <c r="R11" s="724">
        <v>0</v>
      </c>
      <c r="S11" s="724">
        <v>0</v>
      </c>
      <c r="T11" s="760"/>
      <c r="U11" s="760"/>
      <c r="V11" s="760"/>
      <c r="W11" s="760"/>
      <c r="X11" s="760"/>
      <c r="Y11" s="760"/>
      <c r="Z11" s="760"/>
      <c r="AA11" s="767"/>
    </row>
    <row r="12" spans="1:27">
      <c r="A12" s="540" t="s">
        <v>577</v>
      </c>
      <c r="B12" s="539" t="s">
        <v>578</v>
      </c>
      <c r="C12" s="770">
        <v>6624549.9600179996</v>
      </c>
      <c r="D12" s="724">
        <v>1267467.3243</v>
      </c>
      <c r="E12" s="724">
        <v>1267467.3243</v>
      </c>
      <c r="F12" s="724">
        <v>0</v>
      </c>
      <c r="G12" s="724">
        <v>0</v>
      </c>
      <c r="H12" s="724">
        <v>2877718.0448179999</v>
      </c>
      <c r="I12" s="724">
        <v>2877718.0448179999</v>
      </c>
      <c r="J12" s="724">
        <v>0</v>
      </c>
      <c r="K12" s="724">
        <v>0</v>
      </c>
      <c r="L12" s="724">
        <v>2479364.5908999997</v>
      </c>
      <c r="M12" s="724">
        <v>0</v>
      </c>
      <c r="N12" s="724">
        <v>0</v>
      </c>
      <c r="O12" s="724">
        <v>1623.6459</v>
      </c>
      <c r="P12" s="724">
        <v>176164.94500000001</v>
      </c>
      <c r="Q12" s="724">
        <v>0</v>
      </c>
      <c r="R12" s="724">
        <v>2301576</v>
      </c>
      <c r="S12" s="724">
        <v>0</v>
      </c>
      <c r="T12" s="760"/>
      <c r="U12" s="760"/>
      <c r="V12" s="760"/>
      <c r="W12" s="760"/>
      <c r="X12" s="760"/>
      <c r="Y12" s="760"/>
      <c r="Z12" s="760"/>
      <c r="AA12" s="767"/>
    </row>
    <row r="13" spans="1:27">
      <c r="A13" s="540" t="s">
        <v>579</v>
      </c>
      <c r="B13" s="539" t="s">
        <v>580</v>
      </c>
      <c r="C13" s="770">
        <v>28315453.747249998</v>
      </c>
      <c r="D13" s="724">
        <v>9403376.4352499992</v>
      </c>
      <c r="E13" s="724">
        <v>9403376.4352499992</v>
      </c>
      <c r="F13" s="724">
        <v>0</v>
      </c>
      <c r="G13" s="724">
        <v>0</v>
      </c>
      <c r="H13" s="724">
        <v>0</v>
      </c>
      <c r="I13" s="724">
        <v>0</v>
      </c>
      <c r="J13" s="724">
        <v>0</v>
      </c>
      <c r="K13" s="724">
        <v>0</v>
      </c>
      <c r="L13" s="724">
        <v>18912077.311999999</v>
      </c>
      <c r="M13" s="724">
        <v>0</v>
      </c>
      <c r="N13" s="724">
        <v>0</v>
      </c>
      <c r="O13" s="724">
        <v>0</v>
      </c>
      <c r="P13" s="724">
        <v>1079956.73</v>
      </c>
      <c r="Q13" s="724">
        <v>16597994.080600003</v>
      </c>
      <c r="R13" s="724">
        <v>1234126.5014</v>
      </c>
      <c r="S13" s="724">
        <v>0</v>
      </c>
      <c r="T13" s="760"/>
      <c r="U13" s="760"/>
      <c r="V13" s="760"/>
      <c r="W13" s="760"/>
      <c r="X13" s="760"/>
      <c r="Y13" s="760"/>
      <c r="Z13" s="760"/>
      <c r="AA13" s="767"/>
    </row>
    <row r="14" spans="1:27">
      <c r="A14" s="540" t="s">
        <v>581</v>
      </c>
      <c r="B14" s="539" t="s">
        <v>582</v>
      </c>
      <c r="C14" s="770">
        <v>89183025.09474507</v>
      </c>
      <c r="D14" s="724">
        <v>21466221.267741002</v>
      </c>
      <c r="E14" s="724">
        <v>21466221.267741002</v>
      </c>
      <c r="F14" s="724">
        <v>0</v>
      </c>
      <c r="G14" s="724">
        <v>0</v>
      </c>
      <c r="H14" s="724">
        <v>25034157.815324072</v>
      </c>
      <c r="I14" s="724">
        <v>25034157.815324068</v>
      </c>
      <c r="J14" s="724">
        <v>0</v>
      </c>
      <c r="K14" s="724">
        <v>0</v>
      </c>
      <c r="L14" s="724">
        <v>42682646.01168</v>
      </c>
      <c r="M14" s="724">
        <v>9209378.4633799996</v>
      </c>
      <c r="N14" s="724">
        <v>0</v>
      </c>
      <c r="O14" s="724">
        <v>531367.32000000007</v>
      </c>
      <c r="P14" s="724">
        <v>1873357.97</v>
      </c>
      <c r="Q14" s="724">
        <v>27210541.917799998</v>
      </c>
      <c r="R14" s="724">
        <v>3858000.3404999999</v>
      </c>
      <c r="S14" s="724">
        <v>0</v>
      </c>
      <c r="T14" s="760"/>
      <c r="U14" s="760"/>
      <c r="V14" s="760"/>
      <c r="W14" s="760"/>
      <c r="X14" s="760"/>
      <c r="Y14" s="760"/>
      <c r="Z14" s="760"/>
      <c r="AA14" s="767"/>
    </row>
    <row r="15" spans="1:27">
      <c r="A15" s="538">
        <v>1.2</v>
      </c>
      <c r="B15" s="536" t="s">
        <v>895</v>
      </c>
      <c r="C15" s="771">
        <v>14236634.14535672</v>
      </c>
      <c r="D15" s="724">
        <v>286308.61696593999</v>
      </c>
      <c r="E15" s="724">
        <v>286308.61696593999</v>
      </c>
      <c r="F15" s="724">
        <v>0</v>
      </c>
      <c r="G15" s="724">
        <v>0</v>
      </c>
      <c r="H15" s="724">
        <v>230469.05777445613</v>
      </c>
      <c r="I15" s="724">
        <v>212889.10797821911</v>
      </c>
      <c r="J15" s="724">
        <v>17579.949796237001</v>
      </c>
      <c r="K15" s="724">
        <v>0</v>
      </c>
      <c r="L15" s="724">
        <v>13719856.470616324</v>
      </c>
      <c r="M15" s="724">
        <v>3531906.4949148558</v>
      </c>
      <c r="N15" s="724">
        <v>63882.73</v>
      </c>
      <c r="O15" s="724">
        <v>53949.253378560083</v>
      </c>
      <c r="P15" s="724">
        <v>761720.42115389183</v>
      </c>
      <c r="Q15" s="724">
        <v>6444318.98994877</v>
      </c>
      <c r="R15" s="724">
        <v>2864078.5812202473</v>
      </c>
      <c r="S15" s="724">
        <v>0</v>
      </c>
      <c r="T15" s="760"/>
      <c r="U15" s="760"/>
      <c r="V15" s="760"/>
      <c r="W15" s="760"/>
      <c r="X15" s="760"/>
      <c r="Y15" s="760"/>
      <c r="Z15" s="760"/>
      <c r="AA15" s="767"/>
    </row>
    <row r="16" spans="1:27">
      <c r="A16" s="537">
        <v>1.3</v>
      </c>
      <c r="B16" s="536" t="s">
        <v>583</v>
      </c>
      <c r="C16" s="772">
        <v>0</v>
      </c>
      <c r="D16" s="773"/>
      <c r="E16" s="773"/>
      <c r="F16" s="773"/>
      <c r="G16" s="773"/>
      <c r="H16" s="773"/>
      <c r="I16" s="773"/>
      <c r="J16" s="773"/>
      <c r="K16" s="773"/>
      <c r="L16" s="773"/>
      <c r="M16" s="773"/>
      <c r="N16" s="773"/>
      <c r="O16" s="773"/>
      <c r="P16" s="773"/>
      <c r="Q16" s="773"/>
      <c r="R16" s="773"/>
      <c r="S16" s="773"/>
      <c r="T16" s="774"/>
      <c r="U16" s="774"/>
      <c r="V16" s="774"/>
      <c r="W16" s="774"/>
      <c r="X16" s="774"/>
      <c r="Y16" s="774"/>
      <c r="Z16" s="774"/>
      <c r="AA16" s="775"/>
    </row>
    <row r="17" spans="1:27" s="526" customFormat="1" ht="25.5">
      <c r="A17" s="534" t="s">
        <v>584</v>
      </c>
      <c r="B17" s="535" t="s">
        <v>585</v>
      </c>
      <c r="C17" s="776">
        <v>183080706.55643392</v>
      </c>
      <c r="D17" s="725">
        <v>53513857.884901918</v>
      </c>
      <c r="E17" s="725">
        <v>53513857.884901933</v>
      </c>
      <c r="F17" s="725">
        <v>0</v>
      </c>
      <c r="G17" s="725">
        <v>0</v>
      </c>
      <c r="H17" s="725">
        <v>34600888.490376964</v>
      </c>
      <c r="I17" s="725">
        <v>31301341.402334969</v>
      </c>
      <c r="J17" s="725">
        <v>3299547.0880420003</v>
      </c>
      <c r="K17" s="725">
        <v>0</v>
      </c>
      <c r="L17" s="725">
        <v>94965960.181155011</v>
      </c>
      <c r="M17" s="725">
        <v>26140313.531900004</v>
      </c>
      <c r="N17" s="725">
        <v>0</v>
      </c>
      <c r="O17" s="725">
        <v>540319.61590000009</v>
      </c>
      <c r="P17" s="725">
        <v>4351208.018000002</v>
      </c>
      <c r="Q17" s="725">
        <v>57599556.913955003</v>
      </c>
      <c r="R17" s="725">
        <v>6334562.1014000243</v>
      </c>
      <c r="S17" s="725">
        <v>0</v>
      </c>
      <c r="T17" s="777"/>
      <c r="U17" s="777"/>
      <c r="V17" s="777"/>
      <c r="W17" s="777"/>
      <c r="X17" s="777"/>
      <c r="Y17" s="777"/>
      <c r="Z17" s="777"/>
      <c r="AA17" s="778"/>
    </row>
    <row r="18" spans="1:27" s="526" customFormat="1" ht="25.5">
      <c r="A18" s="531" t="s">
        <v>586</v>
      </c>
      <c r="B18" s="532" t="s">
        <v>587</v>
      </c>
      <c r="C18" s="779">
        <v>165309147.60551685</v>
      </c>
      <c r="D18" s="725">
        <v>47404470.899848931</v>
      </c>
      <c r="E18" s="725">
        <v>47404470.899848923</v>
      </c>
      <c r="F18" s="725">
        <v>0</v>
      </c>
      <c r="G18" s="725">
        <v>0</v>
      </c>
      <c r="H18" s="725">
        <v>30043929.374952901</v>
      </c>
      <c r="I18" s="725">
        <v>26744382.286910899</v>
      </c>
      <c r="J18" s="725">
        <v>6599094.1760840006</v>
      </c>
      <c r="K18" s="725">
        <v>0</v>
      </c>
      <c r="L18" s="725">
        <v>87860747.330715016</v>
      </c>
      <c r="M18" s="725">
        <v>23922578.333419997</v>
      </c>
      <c r="N18" s="725">
        <v>0</v>
      </c>
      <c r="O18" s="725">
        <v>484846.38089999999</v>
      </c>
      <c r="P18" s="725">
        <v>4351208.0180000002</v>
      </c>
      <c r="Q18" s="725">
        <v>52767552.496994995</v>
      </c>
      <c r="R18" s="725">
        <v>6334562.1014</v>
      </c>
      <c r="S18" s="725">
        <v>0</v>
      </c>
      <c r="T18" s="777"/>
      <c r="U18" s="777"/>
      <c r="V18" s="777"/>
      <c r="W18" s="777"/>
      <c r="X18" s="777"/>
      <c r="Y18" s="777"/>
      <c r="Z18" s="777"/>
      <c r="AA18" s="778"/>
    </row>
    <row r="19" spans="1:27" s="526" customFormat="1">
      <c r="A19" s="534" t="s">
        <v>588</v>
      </c>
      <c r="B19" s="533" t="s">
        <v>589</v>
      </c>
      <c r="C19" s="780">
        <v>430812672.22296607</v>
      </c>
      <c r="D19" s="725">
        <v>200649491.33359808</v>
      </c>
      <c r="E19" s="725">
        <v>200649491.33359811</v>
      </c>
      <c r="F19" s="725">
        <v>0</v>
      </c>
      <c r="G19" s="725">
        <v>0</v>
      </c>
      <c r="H19" s="725">
        <v>32803724.095323037</v>
      </c>
      <c r="I19" s="725">
        <v>27841011.124865033</v>
      </c>
      <c r="J19" s="725">
        <v>9925425.9409159981</v>
      </c>
      <c r="K19" s="725">
        <v>0</v>
      </c>
      <c r="L19" s="725">
        <v>197359456.794045</v>
      </c>
      <c r="M19" s="725">
        <v>35150410.815199979</v>
      </c>
      <c r="N19" s="725">
        <v>0</v>
      </c>
      <c r="O19" s="725">
        <v>335703.91849999921</v>
      </c>
      <c r="P19" s="725">
        <v>19359169.363099992</v>
      </c>
      <c r="Q19" s="725">
        <v>139418327.681945</v>
      </c>
      <c r="R19" s="725">
        <v>3095845.0153000001</v>
      </c>
      <c r="S19" s="725">
        <v>0</v>
      </c>
      <c r="T19" s="777"/>
      <c r="U19" s="777"/>
      <c r="V19" s="777"/>
      <c r="W19" s="777"/>
      <c r="X19" s="777"/>
      <c r="Y19" s="777"/>
      <c r="Z19" s="777"/>
      <c r="AA19" s="778"/>
    </row>
    <row r="20" spans="1:27" s="526" customFormat="1">
      <c r="A20" s="531" t="s">
        <v>590</v>
      </c>
      <c r="B20" s="532" t="s">
        <v>591</v>
      </c>
      <c r="C20" s="779">
        <v>228170983.99898314</v>
      </c>
      <c r="D20" s="725">
        <v>166426265.45245105</v>
      </c>
      <c r="E20" s="725">
        <v>166426265.45245108</v>
      </c>
      <c r="F20" s="725">
        <v>0</v>
      </c>
      <c r="G20" s="725">
        <v>0</v>
      </c>
      <c r="H20" s="725">
        <v>6943090.1627471028</v>
      </c>
      <c r="I20" s="725">
        <v>4263780.5510891024</v>
      </c>
      <c r="J20" s="725">
        <v>5358619.2233159989</v>
      </c>
      <c r="K20" s="725">
        <v>0</v>
      </c>
      <c r="L20" s="725">
        <v>54801628.383784994</v>
      </c>
      <c r="M20" s="725">
        <v>12047578.43268</v>
      </c>
      <c r="N20" s="725">
        <v>0</v>
      </c>
      <c r="O20" s="725">
        <v>481.40419999999995</v>
      </c>
      <c r="P20" s="725">
        <v>16950595.634199999</v>
      </c>
      <c r="Q20" s="725">
        <v>24977932.406904999</v>
      </c>
      <c r="R20" s="725">
        <v>825040.50580000016</v>
      </c>
      <c r="S20" s="725">
        <v>0</v>
      </c>
      <c r="T20" s="777"/>
      <c r="U20" s="777"/>
      <c r="V20" s="777"/>
      <c r="W20" s="777"/>
      <c r="X20" s="777"/>
      <c r="Y20" s="777"/>
      <c r="Z20" s="777"/>
      <c r="AA20" s="778"/>
    </row>
    <row r="21" spans="1:27" s="526" customFormat="1">
      <c r="A21" s="530">
        <v>1.4</v>
      </c>
      <c r="B21" s="529" t="s">
        <v>680</v>
      </c>
      <c r="C21" s="781">
        <v>44648.72</v>
      </c>
      <c r="D21" s="725">
        <v>44648.72</v>
      </c>
      <c r="E21" s="725">
        <v>44648.72</v>
      </c>
      <c r="F21" s="725">
        <v>0</v>
      </c>
      <c r="G21" s="725">
        <v>0</v>
      </c>
      <c r="H21" s="725">
        <v>0</v>
      </c>
      <c r="I21" s="725">
        <v>0</v>
      </c>
      <c r="J21" s="725">
        <v>0</v>
      </c>
      <c r="K21" s="725">
        <v>0</v>
      </c>
      <c r="L21" s="725">
        <v>0</v>
      </c>
      <c r="M21" s="725">
        <v>0</v>
      </c>
      <c r="N21" s="725">
        <v>0</v>
      </c>
      <c r="O21" s="725">
        <v>0</v>
      </c>
      <c r="P21" s="725">
        <v>0</v>
      </c>
      <c r="Q21" s="725">
        <v>0</v>
      </c>
      <c r="R21" s="725">
        <v>0</v>
      </c>
      <c r="S21" s="725">
        <v>0</v>
      </c>
      <c r="T21" s="777"/>
      <c r="U21" s="777"/>
      <c r="V21" s="777"/>
      <c r="W21" s="777"/>
      <c r="X21" s="777"/>
      <c r="Y21" s="777"/>
      <c r="Z21" s="777"/>
      <c r="AA21" s="778"/>
    </row>
    <row r="22" spans="1:27" s="526" customFormat="1" ht="13.5" thickBot="1">
      <c r="A22" s="528">
        <v>1.5</v>
      </c>
      <c r="B22" s="527" t="s">
        <v>681</v>
      </c>
      <c r="C22" s="782">
        <v>-7.0000000000000007E-2</v>
      </c>
      <c r="D22" s="783">
        <v>-7.0000000000000007E-2</v>
      </c>
      <c r="E22" s="783">
        <v>-7.0000000000000007E-2</v>
      </c>
      <c r="F22" s="783">
        <v>0</v>
      </c>
      <c r="G22" s="783">
        <v>0</v>
      </c>
      <c r="H22" s="783">
        <v>0</v>
      </c>
      <c r="I22" s="783">
        <v>0</v>
      </c>
      <c r="J22" s="783">
        <v>0</v>
      </c>
      <c r="K22" s="783">
        <v>0</v>
      </c>
      <c r="L22" s="783">
        <v>0</v>
      </c>
      <c r="M22" s="783">
        <v>0</v>
      </c>
      <c r="N22" s="783">
        <v>0</v>
      </c>
      <c r="O22" s="783">
        <v>0</v>
      </c>
      <c r="P22" s="783">
        <v>0</v>
      </c>
      <c r="Q22" s="783">
        <v>0</v>
      </c>
      <c r="R22" s="783">
        <v>0</v>
      </c>
      <c r="S22" s="783">
        <v>0</v>
      </c>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8" sqref="C8:K32"/>
    </sheetView>
  </sheetViews>
  <sheetFormatPr defaultColWidth="9.28515625" defaultRowHeight="12.75"/>
  <cols>
    <col min="1" max="1" width="11.7109375" style="494" bestFit="1" customWidth="1"/>
    <col min="2" max="2" width="93.42578125" style="494" customWidth="1"/>
    <col min="3" max="3" width="17.140625" style="494" bestFit="1" customWidth="1"/>
    <col min="4" max="5" width="16.140625" style="494" customWidth="1"/>
    <col min="6" max="6" width="16.140625" style="548" customWidth="1"/>
    <col min="7" max="7" width="32" style="548" customWidth="1"/>
    <col min="8" max="8" width="16.140625" style="494" customWidth="1"/>
    <col min="9" max="11" width="16.140625" style="548" customWidth="1"/>
    <col min="12" max="12" width="29.42578125" style="548" customWidth="1"/>
    <col min="13" max="16384" width="9.28515625" style="494"/>
  </cols>
  <sheetData>
    <row r="1" spans="1:13" ht="13.5">
      <c r="A1" s="381" t="s">
        <v>108</v>
      </c>
      <c r="B1" s="308" t="str">
        <f>Info!C2</f>
        <v>JSC "VTB Bank (Georgia)"</v>
      </c>
      <c r="F1" s="494"/>
      <c r="G1" s="494"/>
      <c r="I1" s="494"/>
      <c r="J1" s="494"/>
      <c r="K1" s="494"/>
      <c r="L1" s="494"/>
    </row>
    <row r="2" spans="1:13">
      <c r="A2" s="383" t="s">
        <v>109</v>
      </c>
      <c r="B2" s="385">
        <f>Info!D2</f>
        <v>45473</v>
      </c>
      <c r="F2" s="494"/>
      <c r="G2" s="494"/>
      <c r="I2" s="494"/>
      <c r="J2" s="494"/>
      <c r="K2" s="494"/>
      <c r="L2" s="494"/>
    </row>
    <row r="3" spans="1:13">
      <c r="A3" s="384" t="s">
        <v>594</v>
      </c>
      <c r="F3" s="494"/>
      <c r="G3" s="494"/>
      <c r="I3" s="494"/>
      <c r="J3" s="494"/>
      <c r="K3" s="494"/>
      <c r="L3" s="494"/>
    </row>
    <row r="4" spans="1:13">
      <c r="F4" s="494"/>
      <c r="G4" s="494"/>
      <c r="I4" s="494"/>
      <c r="J4" s="494"/>
      <c r="K4" s="494"/>
      <c r="L4" s="494"/>
    </row>
    <row r="5" spans="1:13" ht="37.5" customHeight="1">
      <c r="A5" s="867" t="s">
        <v>595</v>
      </c>
      <c r="B5" s="868"/>
      <c r="C5" s="918" t="s">
        <v>596</v>
      </c>
      <c r="D5" s="919"/>
      <c r="E5" s="919"/>
      <c r="F5" s="919"/>
      <c r="G5" s="919"/>
      <c r="H5" s="920" t="s">
        <v>907</v>
      </c>
      <c r="I5" s="921"/>
      <c r="J5" s="921"/>
      <c r="K5" s="921"/>
      <c r="L5" s="922"/>
    </row>
    <row r="6" spans="1:13" ht="39.6" customHeight="1">
      <c r="A6" s="871"/>
      <c r="B6" s="872"/>
      <c r="C6" s="391"/>
      <c r="D6" s="492" t="s">
        <v>892</v>
      </c>
      <c r="E6" s="492" t="s">
        <v>891</v>
      </c>
      <c r="F6" s="492" t="s">
        <v>890</v>
      </c>
      <c r="G6" s="492" t="s">
        <v>889</v>
      </c>
      <c r="H6" s="551"/>
      <c r="I6" s="492" t="s">
        <v>892</v>
      </c>
      <c r="J6" s="492" t="s">
        <v>891</v>
      </c>
      <c r="K6" s="492" t="s">
        <v>890</v>
      </c>
      <c r="L6" s="492" t="s">
        <v>889</v>
      </c>
    </row>
    <row r="7" spans="1:13">
      <c r="A7" s="483">
        <v>1</v>
      </c>
      <c r="B7" s="498" t="s">
        <v>518</v>
      </c>
      <c r="C7" s="786">
        <v>0</v>
      </c>
      <c r="D7" s="724">
        <v>0</v>
      </c>
      <c r="E7" s="724">
        <v>0</v>
      </c>
      <c r="F7" s="724">
        <v>0</v>
      </c>
      <c r="G7" s="724">
        <v>0</v>
      </c>
      <c r="H7" s="724">
        <v>0</v>
      </c>
      <c r="I7" s="724">
        <v>0</v>
      </c>
      <c r="J7" s="724">
        <v>0</v>
      </c>
      <c r="K7" s="724">
        <v>0</v>
      </c>
      <c r="L7" s="724">
        <v>0</v>
      </c>
      <c r="M7" s="665"/>
    </row>
    <row r="8" spans="1:13">
      <c r="A8" s="483">
        <v>2</v>
      </c>
      <c r="B8" s="498" t="s">
        <v>519</v>
      </c>
      <c r="C8" s="786">
        <v>7755300.9030909967</v>
      </c>
      <c r="D8" s="724">
        <v>7438921.3323309971</v>
      </c>
      <c r="E8" s="724">
        <v>5714.5599999999995</v>
      </c>
      <c r="F8" s="787">
        <v>310665.01075999998</v>
      </c>
      <c r="G8" s="787"/>
      <c r="H8" s="724">
        <v>307365.09206477035</v>
      </c>
      <c r="I8" s="787">
        <v>22865.838172750002</v>
      </c>
      <c r="J8" s="787">
        <v>2359.2524165866998</v>
      </c>
      <c r="K8" s="787">
        <v>282140.00147543364</v>
      </c>
      <c r="L8" s="787"/>
      <c r="M8" s="665"/>
    </row>
    <row r="9" spans="1:13">
      <c r="A9" s="483">
        <v>3</v>
      </c>
      <c r="B9" s="498" t="s">
        <v>868</v>
      </c>
      <c r="C9" s="786">
        <v>0</v>
      </c>
      <c r="D9" s="724">
        <v>0</v>
      </c>
      <c r="E9" s="724">
        <v>0</v>
      </c>
      <c r="F9" s="788">
        <v>0</v>
      </c>
      <c r="G9" s="788"/>
      <c r="H9" s="724">
        <v>0</v>
      </c>
      <c r="I9" s="788">
        <v>0</v>
      </c>
      <c r="J9" s="788">
        <v>0</v>
      </c>
      <c r="K9" s="788">
        <v>0</v>
      </c>
      <c r="L9" s="788"/>
      <c r="M9" s="665"/>
    </row>
    <row r="10" spans="1:13">
      <c r="A10" s="483">
        <v>4</v>
      </c>
      <c r="B10" s="498" t="s">
        <v>520</v>
      </c>
      <c r="C10" s="786">
        <v>7484132.1079999991</v>
      </c>
      <c r="D10" s="724">
        <v>0</v>
      </c>
      <c r="E10" s="724">
        <v>0</v>
      </c>
      <c r="F10" s="788">
        <v>7484132.1079999991</v>
      </c>
      <c r="G10" s="788"/>
      <c r="H10" s="724">
        <v>870676.03339661262</v>
      </c>
      <c r="I10" s="788">
        <v>0</v>
      </c>
      <c r="J10" s="788">
        <v>0</v>
      </c>
      <c r="K10" s="788">
        <v>870676.03339661262</v>
      </c>
      <c r="L10" s="788"/>
      <c r="M10" s="665"/>
    </row>
    <row r="11" spans="1:13">
      <c r="A11" s="483">
        <v>5</v>
      </c>
      <c r="B11" s="498" t="s">
        <v>521</v>
      </c>
      <c r="C11" s="786">
        <v>7289065.0217949999</v>
      </c>
      <c r="D11" s="724">
        <v>6546330.3289999999</v>
      </c>
      <c r="E11" s="724">
        <v>0</v>
      </c>
      <c r="F11" s="788">
        <v>742734.69279500004</v>
      </c>
      <c r="G11" s="788"/>
      <c r="H11" s="724">
        <v>117108.78822154501</v>
      </c>
      <c r="I11" s="788">
        <v>3449.4805459992485</v>
      </c>
      <c r="J11" s="788">
        <v>0</v>
      </c>
      <c r="K11" s="788">
        <v>113659.30767554576</v>
      </c>
      <c r="L11" s="788"/>
      <c r="M11" s="665"/>
    </row>
    <row r="12" spans="1:13">
      <c r="A12" s="483">
        <v>6</v>
      </c>
      <c r="B12" s="498" t="s">
        <v>522</v>
      </c>
      <c r="C12" s="786">
        <v>0</v>
      </c>
      <c r="D12" s="724">
        <v>0</v>
      </c>
      <c r="E12" s="724">
        <v>0</v>
      </c>
      <c r="F12" s="788">
        <v>0</v>
      </c>
      <c r="G12" s="788"/>
      <c r="H12" s="724">
        <v>0</v>
      </c>
      <c r="I12" s="788">
        <v>0</v>
      </c>
      <c r="J12" s="788">
        <v>0</v>
      </c>
      <c r="K12" s="788">
        <v>0</v>
      </c>
      <c r="L12" s="788"/>
      <c r="M12" s="665"/>
    </row>
    <row r="13" spans="1:13">
      <c r="A13" s="483">
        <v>7</v>
      </c>
      <c r="B13" s="498" t="s">
        <v>523</v>
      </c>
      <c r="C13" s="786">
        <v>0</v>
      </c>
      <c r="D13" s="724">
        <v>0</v>
      </c>
      <c r="E13" s="724">
        <v>0</v>
      </c>
      <c r="F13" s="788">
        <v>0</v>
      </c>
      <c r="G13" s="788"/>
      <c r="H13" s="724">
        <v>0</v>
      </c>
      <c r="I13" s="788">
        <v>0</v>
      </c>
      <c r="J13" s="788">
        <v>0</v>
      </c>
      <c r="K13" s="788">
        <v>0</v>
      </c>
      <c r="L13" s="788"/>
      <c r="M13" s="665"/>
    </row>
    <row r="14" spans="1:13">
      <c r="A14" s="483">
        <v>8</v>
      </c>
      <c r="B14" s="498" t="s">
        <v>524</v>
      </c>
      <c r="C14" s="786">
        <v>49630252.701290004</v>
      </c>
      <c r="D14" s="724">
        <v>8830684.5693499986</v>
      </c>
      <c r="E14" s="724">
        <v>0</v>
      </c>
      <c r="F14" s="788">
        <v>40799568.131940007</v>
      </c>
      <c r="G14" s="788"/>
      <c r="H14" s="724">
        <v>1405269.3510280792</v>
      </c>
      <c r="I14" s="788">
        <v>6521.3238366321448</v>
      </c>
      <c r="J14" s="788">
        <v>0</v>
      </c>
      <c r="K14" s="788">
        <v>1398748.0271914471</v>
      </c>
      <c r="L14" s="788"/>
      <c r="M14" s="665"/>
    </row>
    <row r="15" spans="1:13">
      <c r="A15" s="483">
        <v>9</v>
      </c>
      <c r="B15" s="498" t="s">
        <v>525</v>
      </c>
      <c r="C15" s="786">
        <v>34858344.174818002</v>
      </c>
      <c r="D15" s="724">
        <v>1455062.92</v>
      </c>
      <c r="E15" s="724">
        <v>14180057.527618</v>
      </c>
      <c r="F15" s="788">
        <v>19223223.727200001</v>
      </c>
      <c r="G15" s="788"/>
      <c r="H15" s="724">
        <v>2958174.8740998097</v>
      </c>
      <c r="I15" s="788">
        <v>450.35830504765886</v>
      </c>
      <c r="J15" s="788">
        <v>118124.04472047785</v>
      </c>
      <c r="K15" s="788">
        <v>2839600.4710742841</v>
      </c>
      <c r="L15" s="788"/>
      <c r="M15" s="665"/>
    </row>
    <row r="16" spans="1:13">
      <c r="A16" s="483">
        <v>10</v>
      </c>
      <c r="B16" s="498" t="s">
        <v>526</v>
      </c>
      <c r="C16" s="786">
        <v>7328.65</v>
      </c>
      <c r="D16" s="724">
        <v>0</v>
      </c>
      <c r="E16" s="724">
        <v>0</v>
      </c>
      <c r="F16" s="788">
        <v>7328.65</v>
      </c>
      <c r="G16" s="788"/>
      <c r="H16" s="724">
        <v>545.77955213146583</v>
      </c>
      <c r="I16" s="788">
        <v>0</v>
      </c>
      <c r="J16" s="788">
        <v>0</v>
      </c>
      <c r="K16" s="788">
        <v>545.77955213146583</v>
      </c>
      <c r="L16" s="788"/>
      <c r="M16" s="665"/>
    </row>
    <row r="17" spans="1:13">
      <c r="A17" s="483">
        <v>11</v>
      </c>
      <c r="B17" s="498" t="s">
        <v>527</v>
      </c>
      <c r="C17" s="786">
        <v>0</v>
      </c>
      <c r="D17" s="724">
        <v>0</v>
      </c>
      <c r="E17" s="724">
        <v>0</v>
      </c>
      <c r="F17" s="788">
        <v>0</v>
      </c>
      <c r="G17" s="788"/>
      <c r="H17" s="724">
        <v>0</v>
      </c>
      <c r="I17" s="788">
        <v>0</v>
      </c>
      <c r="J17" s="788">
        <v>0</v>
      </c>
      <c r="K17" s="788">
        <v>0</v>
      </c>
      <c r="L17" s="788"/>
      <c r="M17" s="665"/>
    </row>
    <row r="18" spans="1:13">
      <c r="A18" s="483">
        <v>12</v>
      </c>
      <c r="B18" s="498" t="s">
        <v>528</v>
      </c>
      <c r="C18" s="786">
        <v>6830138.9444999993</v>
      </c>
      <c r="D18" s="724">
        <v>5988341.7444999991</v>
      </c>
      <c r="E18" s="724">
        <v>0</v>
      </c>
      <c r="F18" s="788">
        <v>841797.2</v>
      </c>
      <c r="G18" s="788"/>
      <c r="H18" s="724">
        <v>535320.63886495284</v>
      </c>
      <c r="I18" s="788">
        <v>822.36570168783305</v>
      </c>
      <c r="J18" s="788">
        <v>0</v>
      </c>
      <c r="K18" s="788">
        <v>534498.27316326497</v>
      </c>
      <c r="L18" s="788"/>
      <c r="M18" s="665"/>
    </row>
    <row r="19" spans="1:13">
      <c r="A19" s="483">
        <v>13</v>
      </c>
      <c r="B19" s="498" t="s">
        <v>529</v>
      </c>
      <c r="C19" s="786">
        <v>4223792.3109049359</v>
      </c>
      <c r="D19" s="724">
        <v>4223792.3109049359</v>
      </c>
      <c r="E19" s="724">
        <v>0</v>
      </c>
      <c r="F19" s="788">
        <v>0</v>
      </c>
      <c r="G19" s="788"/>
      <c r="H19" s="724">
        <v>10688.93828356823</v>
      </c>
      <c r="I19" s="788">
        <v>10688.93828356823</v>
      </c>
      <c r="J19" s="788">
        <v>0</v>
      </c>
      <c r="K19" s="788">
        <v>0</v>
      </c>
      <c r="L19" s="788"/>
      <c r="M19" s="665"/>
    </row>
    <row r="20" spans="1:13">
      <c r="A20" s="483">
        <v>14</v>
      </c>
      <c r="B20" s="498" t="s">
        <v>530</v>
      </c>
      <c r="C20" s="786">
        <v>37398132.344566897</v>
      </c>
      <c r="D20" s="724">
        <v>24501206.630942002</v>
      </c>
      <c r="E20" s="724">
        <v>3122433.313624897</v>
      </c>
      <c r="F20" s="788">
        <v>9774492.4000000004</v>
      </c>
      <c r="G20" s="788"/>
      <c r="H20" s="724">
        <v>2753609.1445018384</v>
      </c>
      <c r="I20" s="788">
        <v>237417.75299086291</v>
      </c>
      <c r="J20" s="788">
        <v>10638.08470893545</v>
      </c>
      <c r="K20" s="788">
        <v>2505553.30680204</v>
      </c>
      <c r="L20" s="788"/>
      <c r="M20" s="665"/>
    </row>
    <row r="21" spans="1:13">
      <c r="A21" s="483">
        <v>15</v>
      </c>
      <c r="B21" s="498" t="s">
        <v>531</v>
      </c>
      <c r="C21" s="786">
        <v>0</v>
      </c>
      <c r="D21" s="724">
        <v>0</v>
      </c>
      <c r="E21" s="724">
        <v>0</v>
      </c>
      <c r="F21" s="788">
        <v>0</v>
      </c>
      <c r="G21" s="788"/>
      <c r="H21" s="724">
        <v>0</v>
      </c>
      <c r="I21" s="788">
        <v>0</v>
      </c>
      <c r="J21" s="788">
        <v>0</v>
      </c>
      <c r="K21" s="788">
        <v>0</v>
      </c>
      <c r="L21" s="788"/>
      <c r="M21" s="665"/>
    </row>
    <row r="22" spans="1:13">
      <c r="A22" s="483">
        <v>16</v>
      </c>
      <c r="B22" s="498" t="s">
        <v>532</v>
      </c>
      <c r="C22" s="786">
        <v>0</v>
      </c>
      <c r="D22" s="724">
        <v>0</v>
      </c>
      <c r="E22" s="724">
        <v>0</v>
      </c>
      <c r="F22" s="788">
        <v>0</v>
      </c>
      <c r="G22" s="788"/>
      <c r="H22" s="724">
        <v>0</v>
      </c>
      <c r="I22" s="788">
        <v>0</v>
      </c>
      <c r="J22" s="788">
        <v>0</v>
      </c>
      <c r="K22" s="788">
        <v>0</v>
      </c>
      <c r="L22" s="788"/>
      <c r="M22" s="665"/>
    </row>
    <row r="23" spans="1:13">
      <c r="A23" s="483">
        <v>17</v>
      </c>
      <c r="B23" s="498" t="s">
        <v>533</v>
      </c>
      <c r="C23" s="786">
        <v>24278129.373024072</v>
      </c>
      <c r="D23" s="724">
        <v>6688310.7000000002</v>
      </c>
      <c r="E23" s="724">
        <v>13731818.332524071</v>
      </c>
      <c r="F23" s="788">
        <v>3858000.3404999999</v>
      </c>
      <c r="G23" s="788"/>
      <c r="H23" s="724">
        <v>2031352.8949243217</v>
      </c>
      <c r="I23" s="788">
        <v>11155.506376225499</v>
      </c>
      <c r="J23" s="788">
        <v>82738.776231144409</v>
      </c>
      <c r="K23" s="788">
        <v>1937458.6123169519</v>
      </c>
      <c r="L23" s="788"/>
      <c r="M23" s="665"/>
    </row>
    <row r="24" spans="1:13">
      <c r="A24" s="483">
        <v>18</v>
      </c>
      <c r="B24" s="498" t="s">
        <v>534</v>
      </c>
      <c r="C24" s="786">
        <v>0</v>
      </c>
      <c r="D24" s="724">
        <v>0</v>
      </c>
      <c r="E24" s="724">
        <v>0</v>
      </c>
      <c r="F24" s="788">
        <v>0</v>
      </c>
      <c r="G24" s="788"/>
      <c r="H24" s="724">
        <v>0</v>
      </c>
      <c r="I24" s="788">
        <v>0</v>
      </c>
      <c r="J24" s="788">
        <v>0</v>
      </c>
      <c r="K24" s="788">
        <v>0</v>
      </c>
      <c r="L24" s="788"/>
      <c r="M24" s="665"/>
    </row>
    <row r="25" spans="1:13">
      <c r="A25" s="483">
        <v>19</v>
      </c>
      <c r="B25" s="498" t="s">
        <v>535</v>
      </c>
      <c r="C25" s="786">
        <v>0</v>
      </c>
      <c r="D25" s="724">
        <v>0</v>
      </c>
      <c r="E25" s="724">
        <v>0</v>
      </c>
      <c r="F25" s="788">
        <v>0</v>
      </c>
      <c r="G25" s="788"/>
      <c r="H25" s="724">
        <v>0</v>
      </c>
      <c r="I25" s="788">
        <v>0</v>
      </c>
      <c r="J25" s="788">
        <v>0</v>
      </c>
      <c r="K25" s="788">
        <v>0</v>
      </c>
      <c r="L25" s="788"/>
      <c r="M25" s="665"/>
    </row>
    <row r="26" spans="1:13">
      <c r="A26" s="483">
        <v>20</v>
      </c>
      <c r="B26" s="498" t="s">
        <v>536</v>
      </c>
      <c r="C26" s="786">
        <v>8106077.1699999999</v>
      </c>
      <c r="D26" s="724">
        <v>8106077.1699999999</v>
      </c>
      <c r="E26" s="724">
        <v>0</v>
      </c>
      <c r="F26" s="788">
        <v>0</v>
      </c>
      <c r="G26" s="788"/>
      <c r="H26" s="724">
        <v>6624.5696683624019</v>
      </c>
      <c r="I26" s="788">
        <v>6624.5696683624019</v>
      </c>
      <c r="J26" s="788">
        <v>0</v>
      </c>
      <c r="K26" s="788">
        <v>0</v>
      </c>
      <c r="L26" s="788"/>
      <c r="M26" s="665"/>
    </row>
    <row r="27" spans="1:13">
      <c r="A27" s="483">
        <v>21</v>
      </c>
      <c r="B27" s="498" t="s">
        <v>537</v>
      </c>
      <c r="C27" s="786">
        <v>0</v>
      </c>
      <c r="D27" s="724">
        <v>0</v>
      </c>
      <c r="E27" s="724">
        <v>0</v>
      </c>
      <c r="F27" s="788">
        <v>0</v>
      </c>
      <c r="G27" s="788"/>
      <c r="H27" s="724">
        <v>0</v>
      </c>
      <c r="I27" s="788">
        <v>0</v>
      </c>
      <c r="J27" s="788">
        <v>0</v>
      </c>
      <c r="K27" s="788">
        <v>0</v>
      </c>
      <c r="L27" s="788"/>
      <c r="M27" s="665"/>
    </row>
    <row r="28" spans="1:13">
      <c r="A28" s="483">
        <v>22</v>
      </c>
      <c r="B28" s="498" t="s">
        <v>538</v>
      </c>
      <c r="C28" s="786">
        <v>0</v>
      </c>
      <c r="D28" s="724">
        <v>0</v>
      </c>
      <c r="E28" s="724">
        <v>0</v>
      </c>
      <c r="F28" s="788">
        <v>0</v>
      </c>
      <c r="G28" s="788"/>
      <c r="H28" s="724">
        <v>0</v>
      </c>
      <c r="I28" s="788">
        <v>0</v>
      </c>
      <c r="J28" s="788">
        <v>0</v>
      </c>
      <c r="K28" s="788">
        <v>0</v>
      </c>
      <c r="L28" s="788"/>
      <c r="M28" s="665"/>
    </row>
    <row r="29" spans="1:13">
      <c r="A29" s="483">
        <v>23</v>
      </c>
      <c r="B29" s="498" t="s">
        <v>539</v>
      </c>
      <c r="C29" s="786">
        <v>16214464.979810003</v>
      </c>
      <c r="D29" s="724">
        <v>0</v>
      </c>
      <c r="E29" s="724">
        <v>3566579.3166100001</v>
      </c>
      <c r="F29" s="788">
        <v>12647885.663200002</v>
      </c>
      <c r="G29" s="788"/>
      <c r="H29" s="724">
        <v>4249417.6896189721</v>
      </c>
      <c r="I29" s="788">
        <v>0</v>
      </c>
      <c r="J29" s="788">
        <v>18968.152113898381</v>
      </c>
      <c r="K29" s="788">
        <v>4230449.5375050735</v>
      </c>
      <c r="L29" s="788"/>
      <c r="M29" s="665"/>
    </row>
    <row r="30" spans="1:13">
      <c r="A30" s="483">
        <v>24</v>
      </c>
      <c r="B30" s="498" t="s">
        <v>540</v>
      </c>
      <c r="C30" s="786">
        <v>5986918.2092999993</v>
      </c>
      <c r="D30" s="724">
        <v>1386229.4709999999</v>
      </c>
      <c r="E30" s="724">
        <v>0</v>
      </c>
      <c r="F30" s="788">
        <v>4600688.7382999994</v>
      </c>
      <c r="G30" s="788"/>
      <c r="H30" s="724">
        <v>944606.80907400069</v>
      </c>
      <c r="I30" s="788">
        <v>2356.0246244340119</v>
      </c>
      <c r="J30" s="788">
        <v>0</v>
      </c>
      <c r="K30" s="788">
        <v>942250.78444956662</v>
      </c>
      <c r="L30" s="788"/>
      <c r="M30" s="665"/>
    </row>
    <row r="31" spans="1:13">
      <c r="A31" s="483">
        <v>25</v>
      </c>
      <c r="B31" s="498" t="s">
        <v>541</v>
      </c>
      <c r="C31" s="786">
        <v>0</v>
      </c>
      <c r="D31" s="724">
        <v>0</v>
      </c>
      <c r="E31" s="724">
        <v>0</v>
      </c>
      <c r="F31" s="788">
        <v>0</v>
      </c>
      <c r="G31" s="788"/>
      <c r="H31" s="724">
        <v>0</v>
      </c>
      <c r="I31" s="788">
        <v>0</v>
      </c>
      <c r="J31" s="788">
        <v>0</v>
      </c>
      <c r="K31" s="788">
        <v>0</v>
      </c>
      <c r="L31" s="788"/>
      <c r="M31" s="665"/>
    </row>
    <row r="32" spans="1:13">
      <c r="A32" s="483">
        <v>26</v>
      </c>
      <c r="B32" s="498" t="s">
        <v>597</v>
      </c>
      <c r="C32" s="786">
        <v>1276170.122895</v>
      </c>
      <c r="D32" s="724">
        <v>903061.98199500015</v>
      </c>
      <c r="E32" s="724">
        <v>0</v>
      </c>
      <c r="F32" s="788">
        <v>373108.1409</v>
      </c>
      <c r="G32" s="788"/>
      <c r="H32" s="724">
        <v>142135.28767017761</v>
      </c>
      <c r="I32" s="788">
        <v>5430.6685580346993</v>
      </c>
      <c r="J32" s="788">
        <v>0</v>
      </c>
      <c r="K32" s="788">
        <v>136704.61911214291</v>
      </c>
      <c r="L32" s="788"/>
      <c r="M32" s="665"/>
    </row>
    <row r="33" spans="1:12" ht="15">
      <c r="A33" s="483">
        <v>27</v>
      </c>
      <c r="B33" s="550" t="s">
        <v>66</v>
      </c>
      <c r="C33" s="701">
        <f>SUM(C7:C32)</f>
        <v>211338247.0139949</v>
      </c>
      <c r="D33" s="701">
        <f t="shared" ref="D33:L33" si="0">SUM(D7:D32)</f>
        <v>76068019.160022944</v>
      </c>
      <c r="E33" s="701">
        <f t="shared" si="0"/>
        <v>34606603.050376967</v>
      </c>
      <c r="F33" s="701">
        <f t="shared" si="0"/>
        <v>100663624.80359502</v>
      </c>
      <c r="G33" s="701">
        <f t="shared" si="0"/>
        <v>0</v>
      </c>
      <c r="H33" s="701">
        <f t="shared" si="0"/>
        <v>16332895.890969146</v>
      </c>
      <c r="I33" s="701">
        <f t="shared" si="0"/>
        <v>307782.82706360461</v>
      </c>
      <c r="J33" s="701">
        <f t="shared" si="0"/>
        <v>232828.31019104278</v>
      </c>
      <c r="K33" s="701">
        <f t="shared" si="0"/>
        <v>15792284.753714494</v>
      </c>
      <c r="L33" s="701">
        <f t="shared" si="0"/>
        <v>0</v>
      </c>
    </row>
    <row r="34" spans="1:12">
      <c r="A34" s="511"/>
      <c r="B34" s="511"/>
      <c r="C34" s="703">
        <f>C33-'23. LTV'!C8</f>
        <v>0</v>
      </c>
      <c r="D34" s="511"/>
      <c r="E34" s="511"/>
      <c r="H34" s="511"/>
    </row>
    <row r="35" spans="1:12">
      <c r="A35" s="511"/>
      <c r="B35" s="549"/>
      <c r="C35" s="549"/>
      <c r="D35" s="511"/>
      <c r="E35" s="511"/>
      <c r="H35" s="511"/>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topLeftCell="E1" zoomScale="80" zoomScaleNormal="80" workbookViewId="0">
      <selection activeCell="C6" sqref="C6:K10"/>
    </sheetView>
  </sheetViews>
  <sheetFormatPr defaultColWidth="8.7109375" defaultRowHeight="12"/>
  <cols>
    <col min="1" max="1" width="11.7109375" style="392" bestFit="1" customWidth="1"/>
    <col min="2" max="2" width="48.28515625" style="392" customWidth="1"/>
    <col min="3" max="11" width="28.28515625" style="392" customWidth="1"/>
    <col min="12" max="12" width="13" style="392" bestFit="1" customWidth="1"/>
    <col min="13" max="16384" width="8.7109375" style="392"/>
  </cols>
  <sheetData>
    <row r="1" spans="1:12" s="382" customFormat="1" ht="13.5">
      <c r="A1" s="381" t="s">
        <v>108</v>
      </c>
      <c r="B1" s="308" t="str">
        <f>Info!C2</f>
        <v>JSC "VTB Bank (Georgia)"</v>
      </c>
      <c r="C1" s="494"/>
      <c r="D1" s="494"/>
      <c r="E1" s="494"/>
      <c r="F1" s="494"/>
      <c r="G1" s="494"/>
      <c r="H1" s="494"/>
      <c r="I1" s="494"/>
      <c r="J1" s="494"/>
      <c r="K1" s="494"/>
    </row>
    <row r="2" spans="1:12" s="382" customFormat="1" ht="12.75">
      <c r="A2" s="383" t="s">
        <v>109</v>
      </c>
      <c r="B2" s="385">
        <f>Info!D2</f>
        <v>45473</v>
      </c>
      <c r="C2" s="494"/>
      <c r="D2" s="494"/>
      <c r="E2" s="494"/>
      <c r="F2" s="494"/>
      <c r="G2" s="494"/>
      <c r="H2" s="494"/>
      <c r="I2" s="494"/>
      <c r="J2" s="494"/>
      <c r="K2" s="494"/>
    </row>
    <row r="3" spans="1:12" s="382" customFormat="1" ht="12.75">
      <c r="A3" s="384" t="s">
        <v>598</v>
      </c>
      <c r="B3" s="494"/>
      <c r="C3" s="494"/>
      <c r="D3" s="494"/>
      <c r="E3" s="494"/>
      <c r="F3" s="494"/>
      <c r="G3" s="494"/>
      <c r="H3" s="494"/>
      <c r="I3" s="494"/>
      <c r="J3" s="494"/>
      <c r="K3" s="494"/>
    </row>
    <row r="4" spans="1:12">
      <c r="A4" s="556"/>
      <c r="B4" s="556"/>
      <c r="C4" s="555" t="s">
        <v>502</v>
      </c>
      <c r="D4" s="555" t="s">
        <v>503</v>
      </c>
      <c r="E4" s="555" t="s">
        <v>504</v>
      </c>
      <c r="F4" s="555" t="s">
        <v>505</v>
      </c>
      <c r="G4" s="555" t="s">
        <v>506</v>
      </c>
      <c r="H4" s="555" t="s">
        <v>507</v>
      </c>
      <c r="I4" s="555" t="s">
        <v>508</v>
      </c>
      <c r="J4" s="555" t="s">
        <v>509</v>
      </c>
      <c r="K4" s="555" t="s">
        <v>510</v>
      </c>
    </row>
    <row r="5" spans="1:12" ht="104.1" customHeight="1">
      <c r="A5" s="923" t="s">
        <v>906</v>
      </c>
      <c r="B5" s="924"/>
      <c r="C5" s="554" t="s">
        <v>599</v>
      </c>
      <c r="D5" s="554" t="s">
        <v>592</v>
      </c>
      <c r="E5" s="554" t="s">
        <v>593</v>
      </c>
      <c r="F5" s="554" t="s">
        <v>905</v>
      </c>
      <c r="G5" s="554" t="s">
        <v>600</v>
      </c>
      <c r="H5" s="554" t="s">
        <v>601</v>
      </c>
      <c r="I5" s="554" t="s">
        <v>602</v>
      </c>
      <c r="J5" s="554" t="s">
        <v>603</v>
      </c>
      <c r="K5" s="554" t="s">
        <v>604</v>
      </c>
    </row>
    <row r="6" spans="1:12" ht="12.75">
      <c r="A6" s="483">
        <v>1</v>
      </c>
      <c r="B6" s="483" t="s">
        <v>605</v>
      </c>
      <c r="C6" s="789">
        <v>777408.92389999994</v>
      </c>
      <c r="D6" s="789">
        <v>44648.72</v>
      </c>
      <c r="E6" s="789">
        <v>0</v>
      </c>
      <c r="F6" s="789">
        <v>0</v>
      </c>
      <c r="G6" s="789">
        <v>160771717.38071239</v>
      </c>
      <c r="H6" s="789">
        <v>10045218.880659999</v>
      </c>
      <c r="I6" s="789">
        <v>11308563.841257073</v>
      </c>
      <c r="J6" s="789">
        <v>10140490.168904521</v>
      </c>
      <c r="K6" s="789">
        <v>18250199.098561</v>
      </c>
    </row>
    <row r="7" spans="1:12" ht="12.75">
      <c r="A7" s="483">
        <v>2</v>
      </c>
      <c r="B7" s="484" t="s">
        <v>606</v>
      </c>
      <c r="C7" s="789"/>
      <c r="D7" s="789"/>
      <c r="E7" s="789"/>
      <c r="F7" s="789"/>
      <c r="G7" s="789"/>
      <c r="H7" s="789"/>
      <c r="I7" s="789"/>
      <c r="J7" s="789"/>
      <c r="K7" s="789"/>
    </row>
    <row r="8" spans="1:12" ht="12.75">
      <c r="A8" s="483">
        <v>3</v>
      </c>
      <c r="B8" s="484" t="s">
        <v>570</v>
      </c>
      <c r="C8" s="789">
        <v>2444844.2324000001</v>
      </c>
      <c r="D8" s="789">
        <v>0</v>
      </c>
      <c r="E8" s="789">
        <v>0</v>
      </c>
      <c r="F8" s="789">
        <v>0</v>
      </c>
      <c r="G8" s="789">
        <v>120000</v>
      </c>
      <c r="H8" s="789">
        <v>0</v>
      </c>
      <c r="I8" s="789">
        <v>18445</v>
      </c>
      <c r="J8" s="789">
        <v>290000</v>
      </c>
      <c r="K8" s="789">
        <v>5963.6439999999866</v>
      </c>
    </row>
    <row r="9" spans="1:12" ht="12.75">
      <c r="A9" s="483">
        <v>4</v>
      </c>
      <c r="B9" s="513" t="s">
        <v>904</v>
      </c>
      <c r="C9" s="790">
        <v>738143.49389999988</v>
      </c>
      <c r="D9" s="790">
        <v>0</v>
      </c>
      <c r="E9" s="790">
        <v>0</v>
      </c>
      <c r="F9" s="790">
        <v>0</v>
      </c>
      <c r="G9" s="790">
        <v>85675421.244014993</v>
      </c>
      <c r="H9" s="790">
        <v>4056877.1361599998</v>
      </c>
      <c r="I9" s="790">
        <v>5028924.3629800007</v>
      </c>
      <c r="J9" s="790">
        <v>2767317.1818999993</v>
      </c>
      <c r="K9" s="790">
        <v>2396941.3846399994</v>
      </c>
      <c r="L9" s="702">
        <f>SUM(C9:K9)-'18. Assets by Exposure classes'!C22</f>
        <v>0</v>
      </c>
    </row>
    <row r="10" spans="1:12" ht="12.75">
      <c r="A10" s="483">
        <v>5</v>
      </c>
      <c r="B10" s="502" t="s">
        <v>903</v>
      </c>
      <c r="C10" s="553"/>
      <c r="D10" s="553"/>
      <c r="E10" s="553"/>
      <c r="F10" s="553"/>
      <c r="G10" s="553"/>
      <c r="H10" s="553"/>
      <c r="I10" s="553"/>
      <c r="J10" s="553"/>
      <c r="K10" s="553"/>
    </row>
    <row r="11" spans="1:12" ht="12.75">
      <c r="A11" s="483">
        <v>6</v>
      </c>
      <c r="B11" s="502" t="s">
        <v>902</v>
      </c>
      <c r="C11" s="553"/>
      <c r="D11" s="553"/>
      <c r="E11" s="553"/>
      <c r="F11" s="553"/>
      <c r="G11" s="553"/>
      <c r="H11" s="553"/>
      <c r="I11" s="553"/>
      <c r="J11" s="553"/>
      <c r="K11" s="553"/>
    </row>
    <row r="13" spans="1:12" ht="15">
      <c r="B13" s="55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topLeftCell="Q1" zoomScale="55" zoomScaleNormal="55" workbookViewId="0">
      <selection activeCell="C7" sqref="C7:V19"/>
    </sheetView>
  </sheetViews>
  <sheetFormatPr defaultColWidth="8.7109375" defaultRowHeight="15"/>
  <cols>
    <col min="1" max="1" width="10" style="557" bestFit="1" customWidth="1"/>
    <col min="2" max="2" width="71.7109375" style="557" customWidth="1"/>
    <col min="3" max="3" width="11.42578125" style="557" bestFit="1" customWidth="1"/>
    <col min="4" max="5" width="15.28515625" style="557" bestFit="1" customWidth="1"/>
    <col min="6" max="6" width="20" style="557" bestFit="1" customWidth="1"/>
    <col min="7" max="7" width="37.7109375" style="557" bestFit="1" customWidth="1"/>
    <col min="8" max="8" width="11.28515625" style="557" bestFit="1" customWidth="1"/>
    <col min="9" max="10" width="15.28515625" style="557" bestFit="1" customWidth="1"/>
    <col min="11" max="11" width="20" style="557" bestFit="1" customWidth="1"/>
    <col min="12" max="12" width="37.7109375" style="557" bestFit="1" customWidth="1"/>
    <col min="13" max="13" width="10.7109375" style="557" bestFit="1" customWidth="1"/>
    <col min="14" max="15" width="15.28515625" style="557" bestFit="1" customWidth="1"/>
    <col min="16" max="16" width="20" style="557" bestFit="1" customWidth="1"/>
    <col min="17" max="17" width="37.7109375" style="557" bestFit="1" customWidth="1"/>
    <col min="18" max="18" width="18" style="557" bestFit="1" customWidth="1"/>
    <col min="19" max="19" width="48" style="557" bestFit="1" customWidth="1"/>
    <col min="20" max="20" width="45.7109375" style="557" bestFit="1" customWidth="1"/>
    <col min="21" max="21" width="48" style="557" bestFit="1" customWidth="1"/>
    <col min="22" max="22" width="44.28515625" style="557" bestFit="1" customWidth="1"/>
    <col min="23" max="16384" width="8.7109375" style="557"/>
  </cols>
  <sheetData>
    <row r="1" spans="1:22">
      <c r="A1" s="381" t="s">
        <v>108</v>
      </c>
      <c r="B1" s="308" t="str">
        <f>Info!C2</f>
        <v>JSC "VTB Bank (Georgia)"</v>
      </c>
    </row>
    <row r="2" spans="1:22">
      <c r="A2" s="383" t="s">
        <v>109</v>
      </c>
      <c r="B2" s="385">
        <f>Info!D2</f>
        <v>45473</v>
      </c>
    </row>
    <row r="3" spans="1:22">
      <c r="A3" s="384" t="s">
        <v>689</v>
      </c>
      <c r="B3" s="494"/>
    </row>
    <row r="4" spans="1:22">
      <c r="A4" s="384"/>
      <c r="B4" s="494"/>
    </row>
    <row r="5" spans="1:22" ht="24" customHeight="1">
      <c r="A5" s="925" t="s">
        <v>716</v>
      </c>
      <c r="B5" s="925"/>
      <c r="C5" s="927" t="s">
        <v>908</v>
      </c>
      <c r="D5" s="927"/>
      <c r="E5" s="927"/>
      <c r="F5" s="927"/>
      <c r="G5" s="927"/>
      <c r="H5" s="927" t="s">
        <v>596</v>
      </c>
      <c r="I5" s="927"/>
      <c r="J5" s="927"/>
      <c r="K5" s="927"/>
      <c r="L5" s="927"/>
      <c r="M5" s="927" t="s">
        <v>907</v>
      </c>
      <c r="N5" s="927"/>
      <c r="O5" s="927"/>
      <c r="P5" s="927"/>
      <c r="Q5" s="927"/>
      <c r="R5" s="926" t="s">
        <v>715</v>
      </c>
      <c r="S5" s="926" t="s">
        <v>719</v>
      </c>
      <c r="T5" s="926" t="s">
        <v>718</v>
      </c>
      <c r="U5" s="926" t="s">
        <v>956</v>
      </c>
      <c r="V5" s="926" t="s">
        <v>957</v>
      </c>
    </row>
    <row r="6" spans="1:22" ht="36" customHeight="1">
      <c r="A6" s="925"/>
      <c r="B6" s="925"/>
      <c r="C6" s="567"/>
      <c r="D6" s="492" t="s">
        <v>892</v>
      </c>
      <c r="E6" s="492" t="s">
        <v>891</v>
      </c>
      <c r="F6" s="492" t="s">
        <v>890</v>
      </c>
      <c r="G6" s="492" t="s">
        <v>889</v>
      </c>
      <c r="H6" s="567"/>
      <c r="I6" s="492" t="s">
        <v>892</v>
      </c>
      <c r="J6" s="492" t="s">
        <v>891</v>
      </c>
      <c r="K6" s="492" t="s">
        <v>890</v>
      </c>
      <c r="L6" s="492" t="s">
        <v>889</v>
      </c>
      <c r="M6" s="567"/>
      <c r="N6" s="492" t="s">
        <v>892</v>
      </c>
      <c r="O6" s="492" t="s">
        <v>891</v>
      </c>
      <c r="P6" s="492" t="s">
        <v>890</v>
      </c>
      <c r="Q6" s="492" t="s">
        <v>889</v>
      </c>
      <c r="R6" s="926"/>
      <c r="S6" s="926"/>
      <c r="T6" s="926"/>
      <c r="U6" s="926"/>
      <c r="V6" s="926"/>
    </row>
    <row r="7" spans="1:22">
      <c r="A7" s="565">
        <v>1</v>
      </c>
      <c r="B7" s="566" t="s">
        <v>690</v>
      </c>
      <c r="C7" s="791">
        <v>374108.825541</v>
      </c>
      <c r="D7" s="791">
        <v>374108.825541</v>
      </c>
      <c r="E7" s="791">
        <v>0</v>
      </c>
      <c r="F7" s="791">
        <v>0</v>
      </c>
      <c r="G7" s="791"/>
      <c r="H7" s="791">
        <v>377572.73074100004</v>
      </c>
      <c r="I7" s="791">
        <v>377572.73074100004</v>
      </c>
      <c r="J7" s="791">
        <v>0</v>
      </c>
      <c r="K7" s="791">
        <v>0</v>
      </c>
      <c r="L7" s="791"/>
      <c r="M7" s="791">
        <v>4585.7620121996997</v>
      </c>
      <c r="N7" s="791">
        <v>4585.7620121996997</v>
      </c>
      <c r="O7" s="791">
        <v>0</v>
      </c>
      <c r="P7" s="791">
        <v>0</v>
      </c>
      <c r="Q7" s="791"/>
      <c r="R7" s="791">
        <v>3</v>
      </c>
      <c r="S7" s="791">
        <v>0</v>
      </c>
      <c r="T7" s="791">
        <v>0</v>
      </c>
      <c r="U7" s="791">
        <v>4.563613107846589E-2</v>
      </c>
      <c r="V7" s="791">
        <v>112.10209888207724</v>
      </c>
    </row>
    <row r="8" spans="1:22">
      <c r="A8" s="565">
        <v>2</v>
      </c>
      <c r="B8" s="564" t="s">
        <v>691</v>
      </c>
      <c r="C8" s="791">
        <v>1058256.1888699997</v>
      </c>
      <c r="D8" s="791">
        <v>792246.40810999984</v>
      </c>
      <c r="E8" s="791">
        <v>4763.74</v>
      </c>
      <c r="F8" s="791">
        <v>261246.04076</v>
      </c>
      <c r="G8" s="791"/>
      <c r="H8" s="791">
        <v>1146093.5965700001</v>
      </c>
      <c r="I8" s="791">
        <v>805470.2758099999</v>
      </c>
      <c r="J8" s="791">
        <v>5714.5599999999995</v>
      </c>
      <c r="K8" s="791">
        <v>334908.76075999998</v>
      </c>
      <c r="L8" s="791"/>
      <c r="M8" s="791">
        <v>313521.45856457745</v>
      </c>
      <c r="N8" s="791">
        <v>4762.8737367719004</v>
      </c>
      <c r="O8" s="791">
        <v>2359.2524165866998</v>
      </c>
      <c r="P8" s="791">
        <v>306399.33241121884</v>
      </c>
      <c r="Q8" s="791"/>
      <c r="R8" s="791">
        <v>92</v>
      </c>
      <c r="S8" s="791">
        <v>0.15</v>
      </c>
      <c r="T8" s="791">
        <v>0.16070399999999999</v>
      </c>
      <c r="U8" s="791">
        <v>0.12520937821444411</v>
      </c>
      <c r="V8" s="791">
        <v>78.369793524010859</v>
      </c>
    </row>
    <row r="9" spans="1:22">
      <c r="A9" s="565">
        <v>3</v>
      </c>
      <c r="B9" s="564" t="s">
        <v>692</v>
      </c>
      <c r="C9" s="791">
        <v>92.83</v>
      </c>
      <c r="D9" s="791">
        <v>0</v>
      </c>
      <c r="E9" s="791">
        <v>0</v>
      </c>
      <c r="F9" s="791">
        <v>92.83</v>
      </c>
      <c r="G9" s="791"/>
      <c r="H9" s="791">
        <v>92.83</v>
      </c>
      <c r="I9" s="791">
        <v>0</v>
      </c>
      <c r="J9" s="791">
        <v>0</v>
      </c>
      <c r="K9" s="791">
        <v>92.83</v>
      </c>
      <c r="L9" s="791"/>
      <c r="M9" s="791">
        <v>77.249064214800001</v>
      </c>
      <c r="N9" s="791">
        <v>0</v>
      </c>
      <c r="O9" s="791">
        <v>0</v>
      </c>
      <c r="P9" s="791">
        <v>77.249064214800001</v>
      </c>
      <c r="Q9" s="791"/>
      <c r="R9" s="791">
        <v>1</v>
      </c>
      <c r="S9" s="791" t="s">
        <v>986</v>
      </c>
      <c r="T9" s="791" t="s">
        <v>986</v>
      </c>
      <c r="U9" s="791">
        <v>0</v>
      </c>
      <c r="V9" s="791">
        <v>0</v>
      </c>
    </row>
    <row r="10" spans="1:22">
      <c r="A10" s="565">
        <v>4</v>
      </c>
      <c r="B10" s="564" t="s">
        <v>693</v>
      </c>
      <c r="C10" s="791">
        <v>0</v>
      </c>
      <c r="D10" s="791">
        <v>0</v>
      </c>
      <c r="E10" s="791">
        <v>0</v>
      </c>
      <c r="F10" s="791">
        <v>0</v>
      </c>
      <c r="G10" s="791"/>
      <c r="H10" s="791">
        <v>0</v>
      </c>
      <c r="I10" s="791">
        <v>0</v>
      </c>
      <c r="J10" s="791">
        <v>0</v>
      </c>
      <c r="K10" s="791">
        <v>0</v>
      </c>
      <c r="L10" s="791"/>
      <c r="M10" s="791">
        <v>0</v>
      </c>
      <c r="N10" s="791">
        <v>0</v>
      </c>
      <c r="O10" s="791">
        <v>0</v>
      </c>
      <c r="P10" s="791">
        <v>0</v>
      </c>
      <c r="Q10" s="791"/>
      <c r="R10" s="791">
        <v>0</v>
      </c>
      <c r="S10" s="791" t="s">
        <v>986</v>
      </c>
      <c r="T10" s="791" t="s">
        <v>986</v>
      </c>
      <c r="U10" s="791">
        <v>0</v>
      </c>
      <c r="V10" s="791">
        <v>0</v>
      </c>
    </row>
    <row r="11" spans="1:22">
      <c r="A11" s="565">
        <v>5</v>
      </c>
      <c r="B11" s="564" t="s">
        <v>694</v>
      </c>
      <c r="C11" s="791">
        <v>0</v>
      </c>
      <c r="D11" s="791">
        <v>0</v>
      </c>
      <c r="E11" s="791">
        <v>0</v>
      </c>
      <c r="F11" s="791">
        <v>0</v>
      </c>
      <c r="G11" s="791"/>
      <c r="H11" s="791">
        <v>0</v>
      </c>
      <c r="I11" s="791">
        <v>0</v>
      </c>
      <c r="J11" s="791">
        <v>0</v>
      </c>
      <c r="K11" s="791">
        <v>0</v>
      </c>
      <c r="L11" s="791"/>
      <c r="M11" s="791">
        <v>0</v>
      </c>
      <c r="N11" s="791">
        <v>0</v>
      </c>
      <c r="O11" s="791">
        <v>0</v>
      </c>
      <c r="P11" s="791">
        <v>0</v>
      </c>
      <c r="Q11" s="791"/>
      <c r="R11" s="791">
        <v>0</v>
      </c>
      <c r="S11" s="791">
        <v>0</v>
      </c>
      <c r="T11" s="791">
        <v>0</v>
      </c>
      <c r="U11" s="791">
        <v>0</v>
      </c>
      <c r="V11" s="791">
        <v>0</v>
      </c>
    </row>
    <row r="12" spans="1:22">
      <c r="A12" s="565">
        <v>6</v>
      </c>
      <c r="B12" s="564" t="s">
        <v>695</v>
      </c>
      <c r="C12" s="791">
        <v>0</v>
      </c>
      <c r="D12" s="791">
        <v>0</v>
      </c>
      <c r="E12" s="791">
        <v>0</v>
      </c>
      <c r="F12" s="791">
        <v>0</v>
      </c>
      <c r="G12" s="791"/>
      <c r="H12" s="791">
        <v>0</v>
      </c>
      <c r="I12" s="791">
        <v>0</v>
      </c>
      <c r="J12" s="791">
        <v>0</v>
      </c>
      <c r="K12" s="791">
        <v>0</v>
      </c>
      <c r="L12" s="791"/>
      <c r="M12" s="791">
        <v>0</v>
      </c>
      <c r="N12" s="791">
        <v>0</v>
      </c>
      <c r="O12" s="791">
        <v>0</v>
      </c>
      <c r="P12" s="791">
        <v>0</v>
      </c>
      <c r="Q12" s="791"/>
      <c r="R12" s="791">
        <v>0</v>
      </c>
      <c r="S12" s="791">
        <v>0</v>
      </c>
      <c r="T12" s="791">
        <v>0</v>
      </c>
      <c r="U12" s="791">
        <v>0</v>
      </c>
      <c r="V12" s="791">
        <v>0</v>
      </c>
    </row>
    <row r="13" spans="1:22">
      <c r="A13" s="565">
        <v>7</v>
      </c>
      <c r="B13" s="564" t="s">
        <v>696</v>
      </c>
      <c r="C13" s="791">
        <v>7059417.5418749992</v>
      </c>
      <c r="D13" s="791">
        <v>6756070.6918749996</v>
      </c>
      <c r="E13" s="791">
        <v>0</v>
      </c>
      <c r="F13" s="791">
        <v>303346.84999999998</v>
      </c>
      <c r="G13" s="791"/>
      <c r="H13" s="791">
        <v>7193855.2186749969</v>
      </c>
      <c r="I13" s="791">
        <v>6845083.6577749969</v>
      </c>
      <c r="J13" s="791">
        <v>0</v>
      </c>
      <c r="K13" s="791">
        <v>348771.56089999998</v>
      </c>
      <c r="L13" s="791"/>
      <c r="M13" s="791">
        <v>125010.52999545599</v>
      </c>
      <c r="N13" s="791">
        <v>12642.490883313094</v>
      </c>
      <c r="O13" s="791">
        <v>0</v>
      </c>
      <c r="P13" s="791">
        <v>112368.0391121429</v>
      </c>
      <c r="Q13" s="791"/>
      <c r="R13" s="791">
        <v>122</v>
      </c>
      <c r="S13" s="791">
        <v>0</v>
      </c>
      <c r="T13" s="791">
        <v>0</v>
      </c>
      <c r="U13" s="791">
        <v>6.9429190594358911E-2</v>
      </c>
      <c r="V13" s="791">
        <v>114.45653437590131</v>
      </c>
    </row>
    <row r="14" spans="1:22">
      <c r="A14" s="559">
        <v>7.1</v>
      </c>
      <c r="B14" s="558" t="s">
        <v>697</v>
      </c>
      <c r="C14" s="791">
        <v>6995297.8190589994</v>
      </c>
      <c r="D14" s="791">
        <v>6691950.9690589998</v>
      </c>
      <c r="E14" s="791">
        <v>0</v>
      </c>
      <c r="F14" s="791">
        <v>303346.84999999998</v>
      </c>
      <c r="G14" s="791"/>
      <c r="H14" s="791">
        <v>7128779.5801589973</v>
      </c>
      <c r="I14" s="791">
        <v>6780008.0192589974</v>
      </c>
      <c r="J14" s="791">
        <v>0</v>
      </c>
      <c r="K14" s="791">
        <v>348771.56089999998</v>
      </c>
      <c r="L14" s="791"/>
      <c r="M14" s="791">
        <v>124907.86909735699</v>
      </c>
      <c r="N14" s="791">
        <v>12539.829985214094</v>
      </c>
      <c r="O14" s="791">
        <v>0</v>
      </c>
      <c r="P14" s="791">
        <v>112368.0391121429</v>
      </c>
      <c r="Q14" s="791"/>
      <c r="R14" s="791">
        <v>121</v>
      </c>
      <c r="S14" s="791">
        <v>0</v>
      </c>
      <c r="T14" s="791">
        <v>0</v>
      </c>
      <c r="U14" s="791">
        <v>6.9634039050180951E-2</v>
      </c>
      <c r="V14" s="791">
        <v>114.41089555976932</v>
      </c>
    </row>
    <row r="15" spans="1:22" ht="25.5">
      <c r="A15" s="559">
        <v>7.2</v>
      </c>
      <c r="B15" s="558" t="s">
        <v>698</v>
      </c>
      <c r="C15" s="791">
        <v>64119.722816000001</v>
      </c>
      <c r="D15" s="791">
        <v>64119.722816000001</v>
      </c>
      <c r="E15" s="791">
        <v>0</v>
      </c>
      <c r="F15" s="791">
        <v>0</v>
      </c>
      <c r="G15" s="791"/>
      <c r="H15" s="791">
        <v>65075.638515999999</v>
      </c>
      <c r="I15" s="791">
        <v>65075.638515999999</v>
      </c>
      <c r="J15" s="791">
        <v>0</v>
      </c>
      <c r="K15" s="791">
        <v>0</v>
      </c>
      <c r="L15" s="791"/>
      <c r="M15" s="791">
        <v>102.66089809899999</v>
      </c>
      <c r="N15" s="791">
        <v>102.66089809899999</v>
      </c>
      <c r="O15" s="791">
        <v>0</v>
      </c>
      <c r="P15" s="791">
        <v>0</v>
      </c>
      <c r="Q15" s="791"/>
      <c r="R15" s="791">
        <v>1</v>
      </c>
      <c r="S15" s="791" t="s">
        <v>986</v>
      </c>
      <c r="T15" s="791" t="s">
        <v>986</v>
      </c>
      <c r="U15" s="791">
        <v>4.7080747817061806E-2</v>
      </c>
      <c r="V15" s="791">
        <v>119.43561252738938</v>
      </c>
    </row>
    <row r="16" spans="1:22">
      <c r="A16" s="559">
        <v>7.3</v>
      </c>
      <c r="B16" s="558" t="s">
        <v>699</v>
      </c>
      <c r="C16" s="791"/>
      <c r="D16" s="791"/>
      <c r="E16" s="791"/>
      <c r="F16" s="791"/>
      <c r="G16" s="791"/>
      <c r="H16" s="791"/>
      <c r="I16" s="791"/>
      <c r="J16" s="791"/>
      <c r="K16" s="791"/>
      <c r="L16" s="791"/>
      <c r="M16" s="791"/>
      <c r="N16" s="791"/>
      <c r="O16" s="791"/>
      <c r="P16" s="791"/>
      <c r="Q16" s="791"/>
      <c r="R16" s="791"/>
      <c r="S16" s="791" t="s">
        <v>986</v>
      </c>
      <c r="T16" s="791" t="s">
        <v>986</v>
      </c>
      <c r="U16" s="791"/>
      <c r="V16" s="791"/>
    </row>
    <row r="17" spans="1:22">
      <c r="A17" s="565">
        <v>8</v>
      </c>
      <c r="B17" s="564" t="s">
        <v>700</v>
      </c>
      <c r="C17" s="791">
        <v>0</v>
      </c>
      <c r="D17" s="791">
        <v>0</v>
      </c>
      <c r="E17" s="791">
        <v>0</v>
      </c>
      <c r="F17" s="791">
        <v>0</v>
      </c>
      <c r="G17" s="791"/>
      <c r="H17" s="791">
        <v>0</v>
      </c>
      <c r="I17" s="791">
        <v>0</v>
      </c>
      <c r="J17" s="791">
        <v>0</v>
      </c>
      <c r="K17" s="791">
        <v>0</v>
      </c>
      <c r="L17" s="791"/>
      <c r="M17" s="791">
        <v>0</v>
      </c>
      <c r="N17" s="791">
        <v>0</v>
      </c>
      <c r="O17" s="791">
        <v>0</v>
      </c>
      <c r="P17" s="791">
        <v>0</v>
      </c>
      <c r="Q17" s="791"/>
      <c r="R17" s="791">
        <v>0</v>
      </c>
      <c r="S17" s="791">
        <v>0</v>
      </c>
      <c r="T17" s="791">
        <v>0</v>
      </c>
      <c r="U17" s="791">
        <v>0</v>
      </c>
      <c r="V17" s="791">
        <v>0</v>
      </c>
    </row>
    <row r="18" spans="1:22">
      <c r="A18" s="563">
        <v>9</v>
      </c>
      <c r="B18" s="562" t="s">
        <v>701</v>
      </c>
      <c r="C18" s="792">
        <v>0</v>
      </c>
      <c r="D18" s="792">
        <v>0</v>
      </c>
      <c r="E18" s="792">
        <v>0</v>
      </c>
      <c r="F18" s="792">
        <v>0</v>
      </c>
      <c r="G18" s="792"/>
      <c r="H18" s="792">
        <v>0</v>
      </c>
      <c r="I18" s="792">
        <v>0</v>
      </c>
      <c r="J18" s="792">
        <v>0</v>
      </c>
      <c r="K18" s="792">
        <v>0</v>
      </c>
      <c r="L18" s="792"/>
      <c r="M18" s="792">
        <v>0</v>
      </c>
      <c r="N18" s="792">
        <v>0</v>
      </c>
      <c r="O18" s="792">
        <v>0</v>
      </c>
      <c r="P18" s="792">
        <v>0</v>
      </c>
      <c r="Q18" s="792"/>
      <c r="R18" s="792">
        <v>0</v>
      </c>
      <c r="S18" s="792">
        <v>0</v>
      </c>
      <c r="T18" s="792">
        <v>0</v>
      </c>
      <c r="U18" s="792">
        <v>0</v>
      </c>
      <c r="V18" s="792">
        <v>0</v>
      </c>
    </row>
    <row r="19" spans="1:22">
      <c r="A19" s="561">
        <v>10</v>
      </c>
      <c r="B19" s="560" t="s">
        <v>717</v>
      </c>
      <c r="C19" s="791">
        <v>8491875.3862859979</v>
      </c>
      <c r="D19" s="791">
        <v>7922425.9255259996</v>
      </c>
      <c r="E19" s="791">
        <v>4763.74</v>
      </c>
      <c r="F19" s="791">
        <v>564685.72075999994</v>
      </c>
      <c r="G19" s="791">
        <v>0</v>
      </c>
      <c r="H19" s="791">
        <v>8717614.3759859968</v>
      </c>
      <c r="I19" s="791">
        <v>8028126.6643259972</v>
      </c>
      <c r="J19" s="791">
        <v>5714.5599999999995</v>
      </c>
      <c r="K19" s="791">
        <v>683773.15165999997</v>
      </c>
      <c r="L19" s="791">
        <v>0</v>
      </c>
      <c r="M19" s="791">
        <v>443194.99963644793</v>
      </c>
      <c r="N19" s="791">
        <v>21991.126632284693</v>
      </c>
      <c r="O19" s="791">
        <v>2359.2524165866998</v>
      </c>
      <c r="P19" s="791">
        <v>418844.62058757653</v>
      </c>
      <c r="Q19" s="791">
        <v>0</v>
      </c>
      <c r="R19" s="791">
        <v>218</v>
      </c>
      <c r="S19" s="791">
        <v>0.15</v>
      </c>
      <c r="T19" s="791">
        <v>0.16070399999999999</v>
      </c>
      <c r="U19" s="791">
        <v>7.5331548768732118E-2</v>
      </c>
      <c r="V19" s="791">
        <v>109.85443470269296</v>
      </c>
    </row>
    <row r="20" spans="1:22" ht="25.5">
      <c r="A20" s="559">
        <v>10.1</v>
      </c>
      <c r="B20" s="558" t="s">
        <v>720</v>
      </c>
      <c r="C20" s="553"/>
      <c r="D20" s="553"/>
      <c r="E20" s="553"/>
      <c r="F20" s="553"/>
      <c r="G20" s="553"/>
      <c r="H20" s="553"/>
      <c r="I20" s="553"/>
      <c r="J20" s="553"/>
      <c r="K20" s="553"/>
      <c r="L20" s="553"/>
      <c r="M20" s="553"/>
      <c r="N20" s="553"/>
      <c r="O20" s="553"/>
      <c r="P20" s="553"/>
      <c r="Q20" s="553"/>
      <c r="R20" s="553"/>
      <c r="S20" s="553"/>
      <c r="T20" s="553"/>
      <c r="U20" s="553"/>
      <c r="V20" s="55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3" zoomScale="70" zoomScaleNormal="70" workbookViewId="0">
      <selection activeCell="C36" sqref="C7:H36"/>
    </sheetView>
  </sheetViews>
  <sheetFormatPr defaultRowHeight="15"/>
  <cols>
    <col min="1" max="1" width="8.7109375" style="457"/>
    <col min="2" max="2" width="69.28515625" style="432"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8" t="str">
        <f>Info!C2</f>
        <v>JSC "VTB Bank (Georgia)"</v>
      </c>
      <c r="C1" s="16"/>
      <c r="D1" s="229"/>
      <c r="E1" s="229"/>
      <c r="F1" s="229"/>
      <c r="G1" s="229"/>
    </row>
    <row r="2" spans="1:8" ht="15.75">
      <c r="A2" s="17" t="s">
        <v>109</v>
      </c>
      <c r="B2" s="339">
        <f>Info!D2</f>
        <v>45473</v>
      </c>
      <c r="C2" s="29"/>
      <c r="D2" s="18"/>
      <c r="E2" s="18"/>
      <c r="F2" s="18"/>
      <c r="G2" s="18"/>
      <c r="H2" s="1"/>
    </row>
    <row r="3" spans="1:8" ht="15.75">
      <c r="A3" s="17"/>
      <c r="B3" s="16"/>
      <c r="C3" s="29"/>
      <c r="D3" s="18"/>
      <c r="E3" s="18"/>
      <c r="F3" s="18"/>
      <c r="G3" s="18"/>
      <c r="H3" s="1"/>
    </row>
    <row r="4" spans="1:8" ht="21" customHeight="1">
      <c r="A4" s="811" t="s">
        <v>25</v>
      </c>
      <c r="B4" s="812" t="s">
        <v>729</v>
      </c>
      <c r="C4" s="814" t="s">
        <v>114</v>
      </c>
      <c r="D4" s="814"/>
      <c r="E4" s="814"/>
      <c r="F4" s="814" t="s">
        <v>115</v>
      </c>
      <c r="G4" s="814"/>
      <c r="H4" s="815"/>
    </row>
    <row r="5" spans="1:8" ht="21" customHeight="1">
      <c r="A5" s="811"/>
      <c r="B5" s="813"/>
      <c r="C5" s="403" t="s">
        <v>26</v>
      </c>
      <c r="D5" s="403" t="s">
        <v>88</v>
      </c>
      <c r="E5" s="403" t="s">
        <v>66</v>
      </c>
      <c r="F5" s="403" t="s">
        <v>26</v>
      </c>
      <c r="G5" s="403" t="s">
        <v>88</v>
      </c>
      <c r="H5" s="403" t="s">
        <v>66</v>
      </c>
    </row>
    <row r="6" spans="1:8" ht="26.85" customHeight="1">
      <c r="A6" s="811"/>
      <c r="B6" s="404" t="s">
        <v>95</v>
      </c>
      <c r="C6" s="816"/>
      <c r="D6" s="817"/>
      <c r="E6" s="817"/>
      <c r="F6" s="817"/>
      <c r="G6" s="817"/>
      <c r="H6" s="818"/>
    </row>
    <row r="7" spans="1:8" ht="23.1" customHeight="1">
      <c r="A7" s="448">
        <v>1</v>
      </c>
      <c r="B7" s="405" t="s">
        <v>843</v>
      </c>
      <c r="C7" s="698">
        <v>85924190.599999994</v>
      </c>
      <c r="D7" s="698">
        <v>77076474.101099998</v>
      </c>
      <c r="E7" s="677">
        <f>C7+D7</f>
        <v>163000664.70109999</v>
      </c>
      <c r="F7" s="698">
        <v>81960448.994400859</v>
      </c>
      <c r="G7" s="698">
        <v>61150129.066468552</v>
      </c>
      <c r="H7" s="677">
        <f>F7+G7</f>
        <v>143110578.0608694</v>
      </c>
    </row>
    <row r="8" spans="1:8">
      <c r="A8" s="448">
        <v>1.1000000000000001</v>
      </c>
      <c r="B8" s="406" t="s">
        <v>96</v>
      </c>
      <c r="C8" s="698">
        <v>85923839.239999995</v>
      </c>
      <c r="D8" s="698">
        <v>70196094.918300003</v>
      </c>
      <c r="E8" s="677">
        <f t="shared" ref="E8:E36" si="0">C8+D8</f>
        <v>156119934.15829998</v>
      </c>
      <c r="F8" s="698">
        <v>81960448.994400859</v>
      </c>
      <c r="G8" s="698">
        <v>61038745.066468552</v>
      </c>
      <c r="H8" s="677">
        <f t="shared" ref="H8:H36" si="1">F8+G8</f>
        <v>142999194.0608694</v>
      </c>
    </row>
    <row r="9" spans="1:8">
      <c r="A9" s="448">
        <v>1.2</v>
      </c>
      <c r="B9" s="406" t="s">
        <v>97</v>
      </c>
      <c r="C9" s="698">
        <v>351.36</v>
      </c>
      <c r="D9" s="698">
        <v>0</v>
      </c>
      <c r="E9" s="677">
        <f t="shared" si="0"/>
        <v>351.36</v>
      </c>
      <c r="F9" s="698">
        <v>0</v>
      </c>
      <c r="G9" s="698">
        <v>0</v>
      </c>
      <c r="H9" s="677">
        <f t="shared" si="1"/>
        <v>0</v>
      </c>
    </row>
    <row r="10" spans="1:8">
      <c r="A10" s="448">
        <v>1.3</v>
      </c>
      <c r="B10" s="406" t="s">
        <v>98</v>
      </c>
      <c r="C10" s="698">
        <v>0</v>
      </c>
      <c r="D10" s="698">
        <v>6880379.1827999996</v>
      </c>
      <c r="E10" s="677">
        <f t="shared" si="0"/>
        <v>6880379.1827999996</v>
      </c>
      <c r="F10" s="698">
        <v>0</v>
      </c>
      <c r="G10" s="698">
        <v>111384</v>
      </c>
      <c r="H10" s="677">
        <f t="shared" si="1"/>
        <v>111384</v>
      </c>
    </row>
    <row r="11" spans="1:8">
      <c r="A11" s="448">
        <v>2</v>
      </c>
      <c r="B11" s="407" t="s">
        <v>730</v>
      </c>
      <c r="C11" s="698"/>
      <c r="D11" s="698"/>
      <c r="E11" s="677">
        <f t="shared" si="0"/>
        <v>0</v>
      </c>
      <c r="F11" s="698"/>
      <c r="G11" s="698"/>
      <c r="H11" s="677">
        <f t="shared" si="1"/>
        <v>0</v>
      </c>
    </row>
    <row r="12" spans="1:8">
      <c r="A12" s="448">
        <v>2.1</v>
      </c>
      <c r="B12" s="408" t="s">
        <v>731</v>
      </c>
      <c r="C12" s="698"/>
      <c r="D12" s="698"/>
      <c r="E12" s="677">
        <f t="shared" si="0"/>
        <v>0</v>
      </c>
      <c r="F12" s="698"/>
      <c r="G12" s="698"/>
      <c r="H12" s="677">
        <f t="shared" si="1"/>
        <v>0</v>
      </c>
    </row>
    <row r="13" spans="1:8" ht="26.85" customHeight="1">
      <c r="A13" s="448">
        <v>3</v>
      </c>
      <c r="B13" s="409" t="s">
        <v>732</v>
      </c>
      <c r="C13" s="698"/>
      <c r="D13" s="698"/>
      <c r="E13" s="677">
        <f t="shared" si="0"/>
        <v>0</v>
      </c>
      <c r="F13" s="698"/>
      <c r="G13" s="698"/>
      <c r="H13" s="677">
        <f t="shared" si="1"/>
        <v>0</v>
      </c>
    </row>
    <row r="14" spans="1:8" ht="26.85" customHeight="1">
      <c r="A14" s="448">
        <v>4</v>
      </c>
      <c r="B14" s="410" t="s">
        <v>733</v>
      </c>
      <c r="C14" s="698"/>
      <c r="D14" s="698"/>
      <c r="E14" s="677">
        <f t="shared" si="0"/>
        <v>0</v>
      </c>
      <c r="F14" s="698"/>
      <c r="G14" s="698"/>
      <c r="H14" s="677">
        <f t="shared" si="1"/>
        <v>0</v>
      </c>
    </row>
    <row r="15" spans="1:8" ht="24.6" customHeight="1">
      <c r="A15" s="448">
        <v>5</v>
      </c>
      <c r="B15" s="410" t="s">
        <v>734</v>
      </c>
      <c r="C15" s="676">
        <v>0</v>
      </c>
      <c r="D15" s="676">
        <v>0</v>
      </c>
      <c r="E15" s="675">
        <f t="shared" si="0"/>
        <v>0</v>
      </c>
      <c r="F15" s="676">
        <v>0</v>
      </c>
      <c r="G15" s="676">
        <v>0</v>
      </c>
      <c r="H15" s="675">
        <f t="shared" si="1"/>
        <v>0</v>
      </c>
    </row>
    <row r="16" spans="1:8">
      <c r="A16" s="448">
        <v>5.0999999999999996</v>
      </c>
      <c r="B16" s="411" t="s">
        <v>735</v>
      </c>
      <c r="C16" s="698">
        <v>0</v>
      </c>
      <c r="D16" s="698">
        <v>0</v>
      </c>
      <c r="E16" s="677">
        <f t="shared" si="0"/>
        <v>0</v>
      </c>
      <c r="F16" s="698">
        <v>0</v>
      </c>
      <c r="G16" s="698">
        <v>0</v>
      </c>
      <c r="H16" s="677">
        <f t="shared" si="1"/>
        <v>0</v>
      </c>
    </row>
    <row r="17" spans="1:8">
      <c r="A17" s="448">
        <v>5.2</v>
      </c>
      <c r="B17" s="411" t="s">
        <v>569</v>
      </c>
      <c r="C17" s="698"/>
      <c r="D17" s="698"/>
      <c r="E17" s="677">
        <f t="shared" si="0"/>
        <v>0</v>
      </c>
      <c r="F17" s="698"/>
      <c r="G17" s="698"/>
      <c r="H17" s="677">
        <f t="shared" si="1"/>
        <v>0</v>
      </c>
    </row>
    <row r="18" spans="1:8">
      <c r="A18" s="448">
        <v>5.3</v>
      </c>
      <c r="B18" s="411" t="s">
        <v>736</v>
      </c>
      <c r="C18" s="698"/>
      <c r="D18" s="698"/>
      <c r="E18" s="677">
        <f t="shared" si="0"/>
        <v>0</v>
      </c>
      <c r="F18" s="698"/>
      <c r="G18" s="698"/>
      <c r="H18" s="677">
        <f t="shared" si="1"/>
        <v>0</v>
      </c>
    </row>
    <row r="19" spans="1:8">
      <c r="A19" s="448">
        <v>6</v>
      </c>
      <c r="B19" s="409" t="s">
        <v>737</v>
      </c>
      <c r="C19" s="698">
        <v>75398091.399953991</v>
      </c>
      <c r="D19" s="698">
        <v>119607259.72307189</v>
      </c>
      <c r="E19" s="677">
        <f t="shared" si="0"/>
        <v>195005351.12302589</v>
      </c>
      <c r="F19" s="698">
        <v>90545505.618873566</v>
      </c>
      <c r="G19" s="698">
        <v>119692013.01921172</v>
      </c>
      <c r="H19" s="677">
        <f t="shared" si="1"/>
        <v>210237518.63808531</v>
      </c>
    </row>
    <row r="20" spans="1:8">
      <c r="A20" s="448">
        <v>6.1</v>
      </c>
      <c r="B20" s="411" t="s">
        <v>569</v>
      </c>
      <c r="C20" s="698"/>
      <c r="D20" s="698"/>
      <c r="E20" s="677">
        <f t="shared" si="0"/>
        <v>0</v>
      </c>
      <c r="F20" s="698"/>
      <c r="G20" s="698"/>
      <c r="H20" s="677">
        <f t="shared" si="1"/>
        <v>0</v>
      </c>
    </row>
    <row r="21" spans="1:8">
      <c r="A21" s="448">
        <v>6.2</v>
      </c>
      <c r="B21" s="411" t="s">
        <v>736</v>
      </c>
      <c r="C21" s="698">
        <v>75398091.399953991</v>
      </c>
      <c r="D21" s="698">
        <v>119607259.72307189</v>
      </c>
      <c r="E21" s="677">
        <f t="shared" si="0"/>
        <v>195005351.12302589</v>
      </c>
      <c r="F21" s="698">
        <v>90545505.618873566</v>
      </c>
      <c r="G21" s="698">
        <v>119692013.01921172</v>
      </c>
      <c r="H21" s="677">
        <f t="shared" si="1"/>
        <v>210237518.63808531</v>
      </c>
    </row>
    <row r="22" spans="1:8">
      <c r="A22" s="448">
        <v>7</v>
      </c>
      <c r="B22" s="412" t="s">
        <v>738</v>
      </c>
      <c r="C22" s="698">
        <v>54000</v>
      </c>
      <c r="D22" s="698"/>
      <c r="E22" s="677">
        <f t="shared" si="0"/>
        <v>54000</v>
      </c>
      <c r="F22" s="698">
        <v>54000</v>
      </c>
      <c r="G22" s="698"/>
      <c r="H22" s="677">
        <f t="shared" si="1"/>
        <v>54000</v>
      </c>
    </row>
    <row r="23" spans="1:8" ht="21">
      <c r="A23" s="448">
        <v>8</v>
      </c>
      <c r="B23" s="413" t="s">
        <v>739</v>
      </c>
      <c r="C23" s="698"/>
      <c r="D23" s="698"/>
      <c r="E23" s="677">
        <f t="shared" si="0"/>
        <v>0</v>
      </c>
      <c r="F23" s="698"/>
      <c r="G23" s="698"/>
      <c r="H23" s="677">
        <f t="shared" si="1"/>
        <v>0</v>
      </c>
    </row>
    <row r="24" spans="1:8">
      <c r="A24" s="448">
        <v>9</v>
      </c>
      <c r="B24" s="410" t="s">
        <v>740</v>
      </c>
      <c r="C24" s="698">
        <v>62112391.230000004</v>
      </c>
      <c r="D24" s="698">
        <v>0</v>
      </c>
      <c r="E24" s="677">
        <f t="shared" si="0"/>
        <v>62112391.230000004</v>
      </c>
      <c r="F24" s="698">
        <v>63878375.689999998</v>
      </c>
      <c r="G24" s="698">
        <v>0</v>
      </c>
      <c r="H24" s="677">
        <f t="shared" si="1"/>
        <v>63878375.689999998</v>
      </c>
    </row>
    <row r="25" spans="1:8">
      <c r="A25" s="448">
        <v>9.1</v>
      </c>
      <c r="B25" s="414" t="s">
        <v>741</v>
      </c>
      <c r="C25" s="698">
        <v>33937909.550000004</v>
      </c>
      <c r="D25" s="698"/>
      <c r="E25" s="677">
        <f t="shared" si="0"/>
        <v>33937909.550000004</v>
      </c>
      <c r="F25" s="698">
        <v>35166745.359999999</v>
      </c>
      <c r="G25" s="698"/>
      <c r="H25" s="677">
        <f t="shared" si="1"/>
        <v>35166745.359999999</v>
      </c>
    </row>
    <row r="26" spans="1:8">
      <c r="A26" s="448">
        <v>9.1999999999999993</v>
      </c>
      <c r="B26" s="414" t="s">
        <v>742</v>
      </c>
      <c r="C26" s="698">
        <v>28174481.68</v>
      </c>
      <c r="D26" s="698"/>
      <c r="E26" s="677">
        <f t="shared" si="0"/>
        <v>28174481.68</v>
      </c>
      <c r="F26" s="698">
        <v>28711630.330000002</v>
      </c>
      <c r="G26" s="698"/>
      <c r="H26" s="677">
        <f t="shared" si="1"/>
        <v>28711630.330000002</v>
      </c>
    </row>
    <row r="27" spans="1:8">
      <c r="A27" s="448">
        <v>10</v>
      </c>
      <c r="B27" s="410" t="s">
        <v>36</v>
      </c>
      <c r="C27" s="698">
        <v>1120927.04</v>
      </c>
      <c r="D27" s="698">
        <v>0</v>
      </c>
      <c r="E27" s="677">
        <f t="shared" si="0"/>
        <v>1120927.04</v>
      </c>
      <c r="F27" s="698">
        <v>18014945.640000001</v>
      </c>
      <c r="G27" s="698">
        <v>0</v>
      </c>
      <c r="H27" s="677">
        <f t="shared" si="1"/>
        <v>18014945.640000001</v>
      </c>
    </row>
    <row r="28" spans="1:8">
      <c r="A28" s="448">
        <v>10.1</v>
      </c>
      <c r="B28" s="414" t="s">
        <v>743</v>
      </c>
      <c r="C28" s="698"/>
      <c r="D28" s="698"/>
      <c r="E28" s="677">
        <f t="shared" si="0"/>
        <v>0</v>
      </c>
      <c r="F28" s="698"/>
      <c r="G28" s="698"/>
      <c r="H28" s="677">
        <f t="shared" si="1"/>
        <v>0</v>
      </c>
    </row>
    <row r="29" spans="1:8">
      <c r="A29" s="448">
        <v>10.199999999999999</v>
      </c>
      <c r="B29" s="414" t="s">
        <v>744</v>
      </c>
      <c r="C29" s="698">
        <v>1120927.04</v>
      </c>
      <c r="D29" s="698"/>
      <c r="E29" s="677">
        <f t="shared" si="0"/>
        <v>1120927.04</v>
      </c>
      <c r="F29" s="698">
        <v>18014945.640000001</v>
      </c>
      <c r="G29" s="698"/>
      <c r="H29" s="677">
        <f t="shared" si="1"/>
        <v>18014945.640000001</v>
      </c>
    </row>
    <row r="30" spans="1:8">
      <c r="A30" s="448">
        <v>11</v>
      </c>
      <c r="B30" s="410" t="s">
        <v>745</v>
      </c>
      <c r="C30" s="698">
        <v>929001.43</v>
      </c>
      <c r="D30" s="698">
        <v>0</v>
      </c>
      <c r="E30" s="677">
        <f t="shared" si="0"/>
        <v>929001.43</v>
      </c>
      <c r="F30" s="698">
        <v>0</v>
      </c>
      <c r="G30" s="698">
        <v>0</v>
      </c>
      <c r="H30" s="677">
        <f t="shared" si="1"/>
        <v>0</v>
      </c>
    </row>
    <row r="31" spans="1:8">
      <c r="A31" s="448">
        <v>11.1</v>
      </c>
      <c r="B31" s="414" t="s">
        <v>746</v>
      </c>
      <c r="C31" s="698">
        <v>929001.43</v>
      </c>
      <c r="D31" s="698"/>
      <c r="E31" s="677">
        <f t="shared" si="0"/>
        <v>929001.43</v>
      </c>
      <c r="F31" s="698">
        <v>0</v>
      </c>
      <c r="G31" s="698"/>
      <c r="H31" s="677">
        <f t="shared" si="1"/>
        <v>0</v>
      </c>
    </row>
    <row r="32" spans="1:8">
      <c r="A32" s="448">
        <v>11.2</v>
      </c>
      <c r="B32" s="414" t="s">
        <v>747</v>
      </c>
      <c r="C32" s="698">
        <v>0</v>
      </c>
      <c r="D32" s="698"/>
      <c r="E32" s="677">
        <f t="shared" si="0"/>
        <v>0</v>
      </c>
      <c r="F32" s="698">
        <v>0</v>
      </c>
      <c r="G32" s="698"/>
      <c r="H32" s="677">
        <f t="shared" si="1"/>
        <v>0</v>
      </c>
    </row>
    <row r="33" spans="1:8">
      <c r="A33" s="448">
        <v>13</v>
      </c>
      <c r="B33" s="410" t="s">
        <v>99</v>
      </c>
      <c r="C33" s="698">
        <v>36754282.994530894</v>
      </c>
      <c r="D33" s="698">
        <v>3493205.4204000034</v>
      </c>
      <c r="E33" s="677">
        <f t="shared" si="0"/>
        <v>40247488.414930895</v>
      </c>
      <c r="F33" s="698">
        <v>36423438.868633114</v>
      </c>
      <c r="G33" s="698">
        <v>3180077.166213471</v>
      </c>
      <c r="H33" s="677">
        <f t="shared" si="1"/>
        <v>39603516.034846582</v>
      </c>
    </row>
    <row r="34" spans="1:8">
      <c r="A34" s="448">
        <v>13.1</v>
      </c>
      <c r="B34" s="415" t="s">
        <v>748</v>
      </c>
      <c r="C34" s="698">
        <v>22019563.32</v>
      </c>
      <c r="D34" s="698"/>
      <c r="E34" s="677">
        <f t="shared" si="0"/>
        <v>22019563.32</v>
      </c>
      <c r="F34" s="698">
        <v>28711630.330000002</v>
      </c>
      <c r="G34" s="698"/>
      <c r="H34" s="677">
        <f t="shared" si="1"/>
        <v>28711630.330000002</v>
      </c>
    </row>
    <row r="35" spans="1:8">
      <c r="A35" s="448">
        <v>13.2</v>
      </c>
      <c r="B35" s="415" t="s">
        <v>749</v>
      </c>
      <c r="C35" s="698"/>
      <c r="D35" s="698"/>
      <c r="E35" s="677">
        <f t="shared" si="0"/>
        <v>0</v>
      </c>
      <c r="F35" s="698"/>
      <c r="G35" s="698"/>
      <c r="H35" s="677">
        <f t="shared" si="1"/>
        <v>0</v>
      </c>
    </row>
    <row r="36" spans="1:8">
      <c r="A36" s="448">
        <v>14</v>
      </c>
      <c r="B36" s="416" t="s">
        <v>750</v>
      </c>
      <c r="C36" s="698">
        <v>262292884.69448489</v>
      </c>
      <c r="D36" s="698">
        <v>200176939.24457189</v>
      </c>
      <c r="E36" s="677">
        <f t="shared" si="0"/>
        <v>462469823.93905675</v>
      </c>
      <c r="F36" s="698">
        <v>290876714.81190753</v>
      </c>
      <c r="G36" s="698">
        <v>184022219.25189376</v>
      </c>
      <c r="H36" s="677">
        <f t="shared" si="1"/>
        <v>474898934.06380129</v>
      </c>
    </row>
    <row r="37" spans="1:8" ht="22.5" customHeight="1">
      <c r="A37" s="448"/>
      <c r="B37" s="417" t="s">
        <v>104</v>
      </c>
      <c r="C37" s="808"/>
      <c r="D37" s="809"/>
      <c r="E37" s="809"/>
      <c r="F37" s="809"/>
      <c r="G37" s="809"/>
      <c r="H37" s="810"/>
    </row>
    <row r="38" spans="1:8">
      <c r="A38" s="448">
        <v>15</v>
      </c>
      <c r="B38" s="418" t="s">
        <v>751</v>
      </c>
      <c r="C38" s="698"/>
      <c r="D38" s="698"/>
      <c r="E38" s="677">
        <f>C38+D38</f>
        <v>0</v>
      </c>
      <c r="F38" s="698"/>
      <c r="G38" s="698"/>
      <c r="H38" s="677">
        <f>F38+G38</f>
        <v>0</v>
      </c>
    </row>
    <row r="39" spans="1:8">
      <c r="A39" s="448">
        <v>15.1</v>
      </c>
      <c r="B39" s="419" t="s">
        <v>731</v>
      </c>
      <c r="C39" s="698"/>
      <c r="D39" s="698"/>
      <c r="E39" s="677">
        <f t="shared" ref="E39:E53" si="2">C39+D39</f>
        <v>0</v>
      </c>
      <c r="F39" s="698"/>
      <c r="G39" s="698"/>
      <c r="H39" s="677">
        <f t="shared" ref="H39:H53" si="3">F39+G39</f>
        <v>0</v>
      </c>
    </row>
    <row r="40" spans="1:8" ht="24" customHeight="1">
      <c r="A40" s="448">
        <v>16</v>
      </c>
      <c r="B40" s="412" t="s">
        <v>752</v>
      </c>
      <c r="C40" s="698">
        <v>678.99</v>
      </c>
      <c r="D40" s="698">
        <v>295483.04249999998</v>
      </c>
      <c r="E40" s="677">
        <f t="shared" si="2"/>
        <v>296162.03249999997</v>
      </c>
      <c r="F40" s="698">
        <v>679</v>
      </c>
      <c r="G40" s="698">
        <v>276581</v>
      </c>
      <c r="H40" s="677">
        <f t="shared" si="3"/>
        <v>277260</v>
      </c>
    </row>
    <row r="41" spans="1:8" ht="21">
      <c r="A41" s="448">
        <v>17</v>
      </c>
      <c r="B41" s="412" t="s">
        <v>753</v>
      </c>
      <c r="C41" s="698">
        <v>15605894.820000002</v>
      </c>
      <c r="D41" s="698">
        <v>1082444.57</v>
      </c>
      <c r="E41" s="677">
        <f t="shared" si="2"/>
        <v>16688339.390000002</v>
      </c>
      <c r="F41" s="698">
        <v>20205072</v>
      </c>
      <c r="G41" s="698">
        <v>1629461</v>
      </c>
      <c r="H41" s="677">
        <f t="shared" si="3"/>
        <v>21834533</v>
      </c>
    </row>
    <row r="42" spans="1:8">
      <c r="A42" s="448">
        <v>17.100000000000001</v>
      </c>
      <c r="B42" s="420" t="s">
        <v>754</v>
      </c>
      <c r="C42" s="698">
        <v>15605894.820000002</v>
      </c>
      <c r="D42" s="698">
        <v>1082444.57</v>
      </c>
      <c r="E42" s="677">
        <f t="shared" si="2"/>
        <v>16688339.390000002</v>
      </c>
      <c r="F42" s="698">
        <v>20205072</v>
      </c>
      <c r="G42" s="698">
        <v>1629461</v>
      </c>
      <c r="H42" s="677">
        <f t="shared" si="3"/>
        <v>21834533</v>
      </c>
    </row>
    <row r="43" spans="1:8">
      <c r="A43" s="448">
        <v>17.2</v>
      </c>
      <c r="B43" s="421" t="s">
        <v>100</v>
      </c>
      <c r="C43" s="698"/>
      <c r="D43" s="698"/>
      <c r="E43" s="677">
        <f t="shared" si="2"/>
        <v>0</v>
      </c>
      <c r="F43" s="698">
        <v>0</v>
      </c>
      <c r="G43" s="698">
        <v>0</v>
      </c>
      <c r="H43" s="677">
        <f t="shared" si="3"/>
        <v>0</v>
      </c>
    </row>
    <row r="44" spans="1:8">
      <c r="A44" s="448">
        <v>17.3</v>
      </c>
      <c r="B44" s="420" t="s">
        <v>755</v>
      </c>
      <c r="C44" s="698"/>
      <c r="D44" s="698"/>
      <c r="E44" s="677">
        <f t="shared" si="2"/>
        <v>0</v>
      </c>
      <c r="F44" s="698"/>
      <c r="G44" s="698"/>
      <c r="H44" s="677">
        <f t="shared" si="3"/>
        <v>0</v>
      </c>
    </row>
    <row r="45" spans="1:8">
      <c r="A45" s="448">
        <v>17.399999999999999</v>
      </c>
      <c r="B45" s="420" t="s">
        <v>756</v>
      </c>
      <c r="C45" s="698"/>
      <c r="D45" s="698"/>
      <c r="E45" s="677">
        <f t="shared" si="2"/>
        <v>0</v>
      </c>
      <c r="F45" s="698"/>
      <c r="G45" s="698"/>
      <c r="H45" s="677">
        <f t="shared" si="3"/>
        <v>0</v>
      </c>
    </row>
    <row r="46" spans="1:8">
      <c r="A46" s="448">
        <v>18</v>
      </c>
      <c r="B46" s="422" t="s">
        <v>757</v>
      </c>
      <c r="C46" s="698">
        <v>8132.6627298154999</v>
      </c>
      <c r="D46" s="698">
        <v>35</v>
      </c>
      <c r="E46" s="677">
        <f t="shared" si="2"/>
        <v>8167.6627298154999</v>
      </c>
      <c r="F46" s="698">
        <v>11377.453035211354</v>
      </c>
      <c r="G46" s="698"/>
      <c r="H46" s="677">
        <f t="shared" si="3"/>
        <v>11377.453035211354</v>
      </c>
    </row>
    <row r="47" spans="1:8">
      <c r="A47" s="448">
        <v>19</v>
      </c>
      <c r="B47" s="422" t="s">
        <v>758</v>
      </c>
      <c r="C47" s="698">
        <v>124830.15</v>
      </c>
      <c r="D47" s="698">
        <v>0</v>
      </c>
      <c r="E47" s="677">
        <f t="shared" si="2"/>
        <v>124830.15</v>
      </c>
      <c r="F47" s="698">
        <v>2790237.0017229961</v>
      </c>
      <c r="G47" s="698">
        <v>0</v>
      </c>
      <c r="H47" s="677">
        <f t="shared" si="3"/>
        <v>2790237.0017229961</v>
      </c>
    </row>
    <row r="48" spans="1:8">
      <c r="A48" s="448">
        <v>19.100000000000001</v>
      </c>
      <c r="B48" s="423" t="s">
        <v>759</v>
      </c>
      <c r="C48" s="698">
        <v>17775.150000000001</v>
      </c>
      <c r="D48" s="698">
        <v>0</v>
      </c>
      <c r="E48" s="677">
        <f t="shared" si="2"/>
        <v>17775.150000000001</v>
      </c>
      <c r="F48" s="698">
        <v>0</v>
      </c>
      <c r="G48" s="698"/>
      <c r="H48" s="677">
        <f t="shared" si="3"/>
        <v>0</v>
      </c>
    </row>
    <row r="49" spans="1:8">
      <c r="A49" s="448">
        <v>19.2</v>
      </c>
      <c r="B49" s="424" t="s">
        <v>760</v>
      </c>
      <c r="C49" s="698">
        <v>107055</v>
      </c>
      <c r="D49" s="698">
        <v>0</v>
      </c>
      <c r="E49" s="677">
        <f t="shared" si="2"/>
        <v>107055</v>
      </c>
      <c r="F49" s="698">
        <v>2790237.0017229961</v>
      </c>
      <c r="G49" s="698"/>
      <c r="H49" s="677">
        <f t="shared" si="3"/>
        <v>2790237.0017229961</v>
      </c>
    </row>
    <row r="50" spans="1:8">
      <c r="A50" s="448">
        <v>20</v>
      </c>
      <c r="B50" s="425" t="s">
        <v>101</v>
      </c>
      <c r="C50" s="698">
        <v>0</v>
      </c>
      <c r="D50" s="698">
        <v>110466980.5587</v>
      </c>
      <c r="E50" s="677">
        <f t="shared" si="2"/>
        <v>110466980.5587</v>
      </c>
      <c r="F50" s="698">
        <v>0</v>
      </c>
      <c r="G50" s="698">
        <v>92231583.875699997</v>
      </c>
      <c r="H50" s="677">
        <f t="shared" si="3"/>
        <v>92231583.875699997</v>
      </c>
    </row>
    <row r="51" spans="1:8">
      <c r="A51" s="448">
        <v>21</v>
      </c>
      <c r="B51" s="426" t="s">
        <v>89</v>
      </c>
      <c r="C51" s="698">
        <v>2170673.79</v>
      </c>
      <c r="D51" s="698">
        <v>16310178.392499994</v>
      </c>
      <c r="E51" s="677">
        <f t="shared" si="2"/>
        <v>18480852.182499994</v>
      </c>
      <c r="F51" s="698">
        <v>2093117.6327755961</v>
      </c>
      <c r="G51" s="698">
        <v>15214765.914189192</v>
      </c>
      <c r="H51" s="677">
        <f t="shared" si="3"/>
        <v>17307883.546964787</v>
      </c>
    </row>
    <row r="52" spans="1:8">
      <c r="A52" s="448">
        <v>21.1</v>
      </c>
      <c r="B52" s="421" t="s">
        <v>761</v>
      </c>
      <c r="C52" s="698">
        <v>1060412.6299999999</v>
      </c>
      <c r="D52" s="698"/>
      <c r="E52" s="677">
        <f t="shared" si="2"/>
        <v>1060412.6299999999</v>
      </c>
      <c r="F52" s="698">
        <v>1060413</v>
      </c>
      <c r="G52" s="698"/>
      <c r="H52" s="677">
        <f t="shared" si="3"/>
        <v>1060413</v>
      </c>
    </row>
    <row r="53" spans="1:8">
      <c r="A53" s="448">
        <v>22</v>
      </c>
      <c r="B53" s="425" t="s">
        <v>762</v>
      </c>
      <c r="C53" s="698">
        <v>17910210.412729818</v>
      </c>
      <c r="D53" s="698">
        <v>128155121.56369999</v>
      </c>
      <c r="E53" s="677">
        <f t="shared" si="2"/>
        <v>146065331.97642982</v>
      </c>
      <c r="F53" s="698">
        <v>25100483.087533806</v>
      </c>
      <c r="G53" s="698">
        <v>109352391.78988919</v>
      </c>
      <c r="H53" s="677">
        <f t="shared" si="3"/>
        <v>134452874.87742299</v>
      </c>
    </row>
    <row r="54" spans="1:8" ht="24" customHeight="1">
      <c r="A54" s="448"/>
      <c r="B54" s="427" t="s">
        <v>763</v>
      </c>
      <c r="C54" s="808"/>
      <c r="D54" s="809"/>
      <c r="E54" s="809"/>
      <c r="F54" s="809"/>
      <c r="G54" s="809"/>
      <c r="H54" s="810"/>
    </row>
    <row r="55" spans="1:8">
      <c r="A55" s="448">
        <v>23</v>
      </c>
      <c r="B55" s="425" t="s">
        <v>105</v>
      </c>
      <c r="C55" s="698">
        <v>209008277</v>
      </c>
      <c r="D55" s="698"/>
      <c r="E55" s="677">
        <f>C55+D55</f>
        <v>209008277</v>
      </c>
      <c r="F55" s="698">
        <v>209008277</v>
      </c>
      <c r="G55" s="698"/>
      <c r="H55" s="677">
        <f>F55+G55</f>
        <v>209008277</v>
      </c>
    </row>
    <row r="56" spans="1:8">
      <c r="A56" s="448">
        <v>24</v>
      </c>
      <c r="B56" s="425" t="s">
        <v>764</v>
      </c>
      <c r="C56" s="698"/>
      <c r="D56" s="698"/>
      <c r="E56" s="677">
        <f t="shared" ref="E56:E69" si="4">C56+D56</f>
        <v>0</v>
      </c>
      <c r="F56" s="698"/>
      <c r="G56" s="698"/>
      <c r="H56" s="677">
        <f t="shared" ref="H56:H69" si="5">F56+G56</f>
        <v>0</v>
      </c>
    </row>
    <row r="57" spans="1:8">
      <c r="A57" s="448">
        <v>25</v>
      </c>
      <c r="B57" s="428" t="s">
        <v>102</v>
      </c>
      <c r="C57" s="698"/>
      <c r="D57" s="698"/>
      <c r="E57" s="677">
        <f t="shared" si="4"/>
        <v>0</v>
      </c>
      <c r="F57" s="698"/>
      <c r="G57" s="698"/>
      <c r="H57" s="677">
        <f t="shared" si="5"/>
        <v>0</v>
      </c>
    </row>
    <row r="58" spans="1:8">
      <c r="A58" s="448">
        <v>26</v>
      </c>
      <c r="B58" s="422" t="s">
        <v>765</v>
      </c>
      <c r="C58" s="698"/>
      <c r="D58" s="698"/>
      <c r="E58" s="677">
        <f t="shared" si="4"/>
        <v>0</v>
      </c>
      <c r="F58" s="698"/>
      <c r="G58" s="698"/>
      <c r="H58" s="677">
        <f t="shared" si="5"/>
        <v>0</v>
      </c>
    </row>
    <row r="59" spans="1:8" ht="21">
      <c r="A59" s="448">
        <v>27</v>
      </c>
      <c r="B59" s="422" t="s">
        <v>766</v>
      </c>
      <c r="C59" s="698">
        <v>0</v>
      </c>
      <c r="D59" s="698">
        <v>56154400</v>
      </c>
      <c r="E59" s="677">
        <f t="shared" si="4"/>
        <v>56154400</v>
      </c>
      <c r="F59" s="698">
        <v>0</v>
      </c>
      <c r="G59" s="698">
        <v>51151300</v>
      </c>
      <c r="H59" s="677">
        <f t="shared" si="5"/>
        <v>51151300</v>
      </c>
    </row>
    <row r="60" spans="1:8">
      <c r="A60" s="448">
        <v>27.1</v>
      </c>
      <c r="B60" s="429" t="s">
        <v>767</v>
      </c>
      <c r="C60" s="698">
        <v>0</v>
      </c>
      <c r="D60" s="698">
        <v>56154400</v>
      </c>
      <c r="E60" s="677">
        <f t="shared" si="4"/>
        <v>56154400</v>
      </c>
      <c r="F60" s="698">
        <v>0</v>
      </c>
      <c r="G60" s="698">
        <v>51151300</v>
      </c>
      <c r="H60" s="677">
        <f t="shared" si="5"/>
        <v>51151300</v>
      </c>
    </row>
    <row r="61" spans="1:8">
      <c r="A61" s="448">
        <v>27.2</v>
      </c>
      <c r="B61" s="420" t="s">
        <v>768</v>
      </c>
      <c r="C61" s="698"/>
      <c r="D61" s="698"/>
      <c r="E61" s="677">
        <f t="shared" si="4"/>
        <v>0</v>
      </c>
      <c r="F61" s="698"/>
      <c r="G61" s="698"/>
      <c r="H61" s="677">
        <f t="shared" si="5"/>
        <v>0</v>
      </c>
    </row>
    <row r="62" spans="1:8">
      <c r="A62" s="448">
        <v>28</v>
      </c>
      <c r="B62" s="426" t="s">
        <v>769</v>
      </c>
      <c r="C62" s="698"/>
      <c r="D62" s="698"/>
      <c r="E62" s="677">
        <f t="shared" si="4"/>
        <v>0</v>
      </c>
      <c r="F62" s="698"/>
      <c r="G62" s="698"/>
      <c r="H62" s="677">
        <f t="shared" si="5"/>
        <v>0</v>
      </c>
    </row>
    <row r="63" spans="1:8">
      <c r="A63" s="448">
        <v>29</v>
      </c>
      <c r="B63" s="422" t="s">
        <v>770</v>
      </c>
      <c r="C63" s="698">
        <v>11691975</v>
      </c>
      <c r="D63" s="698">
        <v>0</v>
      </c>
      <c r="E63" s="677">
        <f t="shared" si="4"/>
        <v>11691975</v>
      </c>
      <c r="F63" s="698">
        <v>11788076</v>
      </c>
      <c r="G63" s="698">
        <v>0</v>
      </c>
      <c r="H63" s="677">
        <f t="shared" si="5"/>
        <v>11788076</v>
      </c>
    </row>
    <row r="64" spans="1:8">
      <c r="A64" s="448">
        <v>29.1</v>
      </c>
      <c r="B64" s="411" t="s">
        <v>771</v>
      </c>
      <c r="C64" s="698">
        <v>11691975</v>
      </c>
      <c r="D64" s="698"/>
      <c r="E64" s="677">
        <f t="shared" si="4"/>
        <v>11691975</v>
      </c>
      <c r="F64" s="698">
        <v>11788076</v>
      </c>
      <c r="G64" s="698"/>
      <c r="H64" s="677">
        <f t="shared" si="5"/>
        <v>11788076</v>
      </c>
    </row>
    <row r="65" spans="1:8" ht="25.35" customHeight="1">
      <c r="A65" s="448">
        <v>29.2</v>
      </c>
      <c r="B65" s="429" t="s">
        <v>772</v>
      </c>
      <c r="C65" s="698"/>
      <c r="D65" s="698"/>
      <c r="E65" s="677">
        <f t="shared" si="4"/>
        <v>0</v>
      </c>
      <c r="F65" s="698"/>
      <c r="G65" s="698"/>
      <c r="H65" s="677">
        <f t="shared" si="5"/>
        <v>0</v>
      </c>
    </row>
    <row r="66" spans="1:8" ht="22.5" customHeight="1">
      <c r="A66" s="448">
        <v>29.3</v>
      </c>
      <c r="B66" s="414" t="s">
        <v>773</v>
      </c>
      <c r="C66" s="698"/>
      <c r="D66" s="698"/>
      <c r="E66" s="677">
        <f t="shared" si="4"/>
        <v>0</v>
      </c>
      <c r="F66" s="698"/>
      <c r="G66" s="698"/>
      <c r="H66" s="677">
        <f t="shared" si="5"/>
        <v>0</v>
      </c>
    </row>
    <row r="67" spans="1:8">
      <c r="A67" s="448">
        <v>30</v>
      </c>
      <c r="B67" s="410" t="s">
        <v>103</v>
      </c>
      <c r="C67" s="698">
        <v>39549839.962626934</v>
      </c>
      <c r="D67" s="698"/>
      <c r="E67" s="677">
        <f t="shared" si="4"/>
        <v>39549839.962626934</v>
      </c>
      <c r="F67" s="698">
        <v>68498407.365348309</v>
      </c>
      <c r="G67" s="698"/>
      <c r="H67" s="677">
        <f t="shared" si="5"/>
        <v>68498407.365348309</v>
      </c>
    </row>
    <row r="68" spans="1:8">
      <c r="A68" s="448">
        <v>31</v>
      </c>
      <c r="B68" s="430" t="s">
        <v>774</v>
      </c>
      <c r="C68" s="698">
        <v>260250091.96262693</v>
      </c>
      <c r="D68" s="698">
        <v>56154400</v>
      </c>
      <c r="E68" s="677">
        <f t="shared" si="4"/>
        <v>316404491.96262693</v>
      </c>
      <c r="F68" s="698">
        <v>289294760.36534834</v>
      </c>
      <c r="G68" s="698">
        <v>51151300</v>
      </c>
      <c r="H68" s="677">
        <f t="shared" si="5"/>
        <v>340446060.36534834</v>
      </c>
    </row>
    <row r="69" spans="1:8">
      <c r="A69" s="448">
        <v>32</v>
      </c>
      <c r="B69" s="431" t="s">
        <v>775</v>
      </c>
      <c r="C69" s="698">
        <v>278160302.37535673</v>
      </c>
      <c r="D69" s="698">
        <v>184309521.56369999</v>
      </c>
      <c r="E69" s="677">
        <f t="shared" si="4"/>
        <v>462469823.93905675</v>
      </c>
      <c r="F69" s="698">
        <v>314395243.45288217</v>
      </c>
      <c r="G69" s="698">
        <v>160503691.78988919</v>
      </c>
      <c r="H69" s="677">
        <f t="shared" si="5"/>
        <v>474898935.24277139</v>
      </c>
    </row>
    <row r="70" spans="1:8">
      <c r="C70" s="678"/>
      <c r="D70" s="678"/>
      <c r="E70" s="797">
        <f>E69-E36</f>
        <v>0</v>
      </c>
      <c r="F70" s="678"/>
      <c r="G70" s="678"/>
      <c r="H70" s="797">
        <f>H69-H36</f>
        <v>1.1789700984954834</v>
      </c>
    </row>
    <row r="71" spans="1:8">
      <c r="C71" s="678"/>
      <c r="D71" s="678"/>
      <c r="E71" s="678"/>
      <c r="F71" s="678"/>
      <c r="G71" s="678"/>
      <c r="H71" s="678"/>
    </row>
    <row r="72" spans="1:8">
      <c r="C72" s="678"/>
      <c r="D72" s="678"/>
      <c r="E72" s="678"/>
      <c r="F72" s="678"/>
      <c r="G72" s="678"/>
      <c r="H72" s="678"/>
    </row>
    <row r="73" spans="1:8">
      <c r="C73" s="678"/>
      <c r="D73" s="678"/>
      <c r="E73" s="678"/>
      <c r="F73" s="678"/>
      <c r="G73" s="678"/>
      <c r="H73" s="678"/>
    </row>
    <row r="74" spans="1:8">
      <c r="C74" s="678"/>
      <c r="D74" s="678"/>
      <c r="E74" s="678"/>
      <c r="F74" s="678"/>
      <c r="G74" s="678"/>
      <c r="H74" s="678"/>
    </row>
    <row r="75" spans="1:8">
      <c r="C75" s="678"/>
      <c r="D75" s="678"/>
      <c r="E75" s="678"/>
      <c r="F75" s="678"/>
      <c r="G75" s="678"/>
      <c r="H75" s="678"/>
    </row>
    <row r="76" spans="1:8">
      <c r="C76" s="678"/>
      <c r="D76" s="678"/>
      <c r="E76" s="678"/>
      <c r="F76" s="678"/>
      <c r="G76" s="678"/>
      <c r="H76" s="678"/>
    </row>
    <row r="77" spans="1:8">
      <c r="C77" s="678"/>
      <c r="D77" s="678"/>
      <c r="E77" s="678"/>
      <c r="F77" s="678"/>
      <c r="G77" s="678"/>
      <c r="H77" s="678"/>
    </row>
    <row r="78" spans="1:8">
      <c r="C78" s="678"/>
      <c r="D78" s="678"/>
      <c r="E78" s="678"/>
      <c r="F78" s="678"/>
      <c r="G78" s="678"/>
      <c r="H78" s="678"/>
    </row>
    <row r="79" spans="1:8">
      <c r="C79" s="678"/>
      <c r="D79" s="678"/>
      <c r="E79" s="678"/>
      <c r="F79" s="678"/>
      <c r="G79" s="678"/>
      <c r="H79" s="678"/>
    </row>
    <row r="80" spans="1:8">
      <c r="C80" s="678"/>
      <c r="D80" s="678"/>
      <c r="E80" s="678"/>
      <c r="F80" s="678"/>
      <c r="G80" s="678"/>
      <c r="H80" s="678"/>
    </row>
    <row r="81" spans="3:8">
      <c r="C81" s="678"/>
      <c r="D81" s="678"/>
      <c r="E81" s="678"/>
      <c r="F81" s="678"/>
      <c r="G81" s="678"/>
      <c r="H81" s="678"/>
    </row>
    <row r="82" spans="3:8">
      <c r="C82" s="678"/>
      <c r="D82" s="678"/>
      <c r="E82" s="678"/>
      <c r="F82" s="678"/>
      <c r="G82" s="678"/>
      <c r="H82" s="678"/>
    </row>
    <row r="83" spans="3:8">
      <c r="C83" s="678"/>
      <c r="D83" s="678"/>
      <c r="E83" s="678"/>
      <c r="F83" s="678"/>
      <c r="G83" s="678"/>
      <c r="H83" s="678"/>
    </row>
    <row r="84" spans="3:8">
      <c r="C84" s="678"/>
      <c r="D84" s="678"/>
      <c r="E84" s="678"/>
      <c r="F84" s="678"/>
      <c r="G84" s="678"/>
      <c r="H84" s="678"/>
    </row>
    <row r="85" spans="3:8">
      <c r="C85" s="678"/>
      <c r="D85" s="678"/>
      <c r="E85" s="678"/>
      <c r="F85" s="678"/>
      <c r="G85" s="678"/>
      <c r="H85" s="678"/>
    </row>
    <row r="86" spans="3:8">
      <c r="C86" s="678"/>
      <c r="D86" s="678"/>
      <c r="E86" s="678"/>
      <c r="F86" s="678"/>
      <c r="G86" s="678"/>
      <c r="H86" s="678"/>
    </row>
    <row r="87" spans="3:8">
      <c r="C87" s="678"/>
      <c r="D87" s="678"/>
      <c r="E87" s="678"/>
      <c r="F87" s="678"/>
      <c r="G87" s="678"/>
      <c r="H87" s="678"/>
    </row>
    <row r="88" spans="3:8">
      <c r="C88" s="678"/>
      <c r="D88" s="678"/>
      <c r="E88" s="678"/>
      <c r="F88" s="678"/>
      <c r="G88" s="678"/>
      <c r="H88" s="678"/>
    </row>
    <row r="89" spans="3:8">
      <c r="C89" s="678"/>
      <c r="D89" s="678"/>
      <c r="E89" s="678"/>
      <c r="F89" s="678"/>
      <c r="G89" s="678"/>
      <c r="H89" s="678"/>
    </row>
    <row r="90" spans="3:8">
      <c r="C90" s="678"/>
      <c r="D90" s="678"/>
      <c r="E90" s="678"/>
      <c r="F90" s="678"/>
      <c r="G90" s="678"/>
      <c r="H90" s="678"/>
    </row>
    <row r="91" spans="3:8">
      <c r="C91" s="678"/>
      <c r="D91" s="678"/>
      <c r="E91" s="678"/>
      <c r="F91" s="678"/>
      <c r="G91" s="678"/>
      <c r="H91" s="678"/>
    </row>
    <row r="92" spans="3:8">
      <c r="C92" s="678"/>
      <c r="D92" s="678"/>
      <c r="E92" s="678"/>
      <c r="F92" s="678"/>
      <c r="G92" s="678"/>
      <c r="H92" s="678"/>
    </row>
    <row r="93" spans="3:8">
      <c r="C93" s="678"/>
      <c r="D93" s="678"/>
      <c r="E93" s="678"/>
      <c r="F93" s="678"/>
      <c r="G93" s="678"/>
      <c r="H93" s="678"/>
    </row>
    <row r="94" spans="3:8">
      <c r="C94" s="678"/>
      <c r="D94" s="678"/>
      <c r="E94" s="678"/>
      <c r="F94" s="678"/>
      <c r="G94" s="678"/>
      <c r="H94" s="678"/>
    </row>
    <row r="95" spans="3:8">
      <c r="C95" s="678"/>
      <c r="D95" s="678"/>
      <c r="E95" s="678"/>
      <c r="F95" s="678"/>
      <c r="G95" s="678"/>
      <c r="H95" s="678"/>
    </row>
    <row r="96" spans="3:8">
      <c r="C96" s="678"/>
      <c r="D96" s="678"/>
      <c r="E96" s="678"/>
      <c r="F96" s="678"/>
      <c r="G96" s="678"/>
      <c r="H96" s="678"/>
    </row>
    <row r="97" spans="3:8">
      <c r="C97" s="678"/>
      <c r="D97" s="678"/>
      <c r="E97" s="678"/>
      <c r="F97" s="678"/>
      <c r="G97" s="678"/>
      <c r="H97" s="678"/>
    </row>
    <row r="98" spans="3:8">
      <c r="C98" s="678"/>
      <c r="D98" s="678"/>
      <c r="E98" s="678"/>
      <c r="F98" s="678"/>
      <c r="G98" s="678"/>
      <c r="H98" s="678"/>
    </row>
    <row r="99" spans="3:8">
      <c r="C99" s="678"/>
      <c r="D99" s="678"/>
      <c r="E99" s="678"/>
      <c r="F99" s="678"/>
      <c r="G99" s="678"/>
      <c r="H99" s="678"/>
    </row>
    <row r="100" spans="3:8">
      <c r="C100" s="678"/>
      <c r="D100" s="678"/>
      <c r="E100" s="678"/>
      <c r="F100" s="678"/>
      <c r="G100" s="678"/>
      <c r="H100" s="678"/>
    </row>
    <row r="101" spans="3:8">
      <c r="C101" s="678"/>
      <c r="D101" s="678"/>
      <c r="E101" s="678"/>
      <c r="F101" s="678"/>
      <c r="G101" s="678"/>
      <c r="H101" s="678"/>
    </row>
    <row r="102" spans="3:8">
      <c r="C102" s="678"/>
      <c r="D102" s="678"/>
      <c r="E102" s="678"/>
      <c r="F102" s="678"/>
      <c r="G102" s="678"/>
      <c r="H102" s="678"/>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4" customWidth="1"/>
    <col min="2" max="2" width="66.28515625" style="165" customWidth="1"/>
    <col min="3" max="3" width="131.42578125" style="166" customWidth="1"/>
    <col min="4" max="5" width="10.28515625" style="157" customWidth="1"/>
    <col min="6" max="6" width="67.7109375" style="157" customWidth="1"/>
    <col min="7" max="16384" width="43.5703125" style="157"/>
  </cols>
  <sheetData>
    <row r="1" spans="1:3" ht="12.75" thickTop="1" thickBot="1">
      <c r="A1" s="983" t="s">
        <v>187</v>
      </c>
      <c r="B1" s="984"/>
      <c r="C1" s="985"/>
    </row>
    <row r="2" spans="1:3" ht="26.25" customHeight="1">
      <c r="A2" s="393"/>
      <c r="B2" s="986" t="s">
        <v>188</v>
      </c>
      <c r="C2" s="986"/>
    </row>
    <row r="3" spans="1:3" s="162" customFormat="1" ht="11.25" customHeight="1">
      <c r="A3" s="161"/>
      <c r="B3" s="986" t="s">
        <v>263</v>
      </c>
      <c r="C3" s="986"/>
    </row>
    <row r="4" spans="1:3" ht="12" customHeight="1" thickBot="1">
      <c r="A4" s="965" t="s">
        <v>267</v>
      </c>
      <c r="B4" s="966"/>
      <c r="C4" s="967"/>
    </row>
    <row r="5" spans="1:3" ht="12" thickTop="1">
      <c r="A5" s="158"/>
      <c r="B5" s="968" t="s">
        <v>189</v>
      </c>
      <c r="C5" s="969"/>
    </row>
    <row r="6" spans="1:3">
      <c r="A6" s="393"/>
      <c r="B6" s="945" t="s">
        <v>264</v>
      </c>
      <c r="C6" s="946"/>
    </row>
    <row r="7" spans="1:3">
      <c r="A7" s="393"/>
      <c r="B7" s="945" t="s">
        <v>190</v>
      </c>
      <c r="C7" s="946"/>
    </row>
    <row r="8" spans="1:3">
      <c r="A8" s="393"/>
      <c r="B8" s="945" t="s">
        <v>265</v>
      </c>
      <c r="C8" s="946"/>
    </row>
    <row r="9" spans="1:3">
      <c r="A9" s="393"/>
      <c r="B9" s="989" t="s">
        <v>266</v>
      </c>
      <c r="C9" s="990"/>
    </row>
    <row r="10" spans="1:3">
      <c r="A10" s="393"/>
      <c r="B10" s="981" t="s">
        <v>191</v>
      </c>
      <c r="C10" s="982" t="s">
        <v>191</v>
      </c>
    </row>
    <row r="11" spans="1:3">
      <c r="A11" s="393"/>
      <c r="B11" s="981" t="s">
        <v>192</v>
      </c>
      <c r="C11" s="982" t="s">
        <v>192</v>
      </c>
    </row>
    <row r="12" spans="1:3">
      <c r="A12" s="393"/>
      <c r="B12" s="981" t="s">
        <v>193</v>
      </c>
      <c r="C12" s="982" t="s">
        <v>193</v>
      </c>
    </row>
    <row r="13" spans="1:3">
      <c r="A13" s="393"/>
      <c r="B13" s="981" t="s">
        <v>194</v>
      </c>
      <c r="C13" s="982" t="s">
        <v>194</v>
      </c>
    </row>
    <row r="14" spans="1:3">
      <c r="A14" s="393"/>
      <c r="B14" s="981" t="s">
        <v>195</v>
      </c>
      <c r="C14" s="982" t="s">
        <v>195</v>
      </c>
    </row>
    <row r="15" spans="1:3" ht="21.75" customHeight="1">
      <c r="A15" s="393"/>
      <c r="B15" s="981" t="s">
        <v>196</v>
      </c>
      <c r="C15" s="982" t="s">
        <v>196</v>
      </c>
    </row>
    <row r="16" spans="1:3">
      <c r="A16" s="393"/>
      <c r="B16" s="981" t="s">
        <v>197</v>
      </c>
      <c r="C16" s="982" t="s">
        <v>198</v>
      </c>
    </row>
    <row r="17" spans="1:6">
      <c r="A17" s="393"/>
      <c r="B17" s="981" t="s">
        <v>199</v>
      </c>
      <c r="C17" s="982" t="s">
        <v>200</v>
      </c>
    </row>
    <row r="18" spans="1:6">
      <c r="A18" s="393"/>
      <c r="B18" s="981" t="s">
        <v>201</v>
      </c>
      <c r="C18" s="982" t="s">
        <v>202</v>
      </c>
    </row>
    <row r="19" spans="1:6">
      <c r="A19" s="393"/>
      <c r="B19" s="981" t="s">
        <v>203</v>
      </c>
      <c r="C19" s="982" t="s">
        <v>203</v>
      </c>
    </row>
    <row r="20" spans="1:6">
      <c r="A20" s="393"/>
      <c r="B20" s="987" t="s">
        <v>959</v>
      </c>
      <c r="C20" s="988" t="s">
        <v>204</v>
      </c>
    </row>
    <row r="21" spans="1:6">
      <c r="A21" s="393"/>
      <c r="B21" s="981" t="s">
        <v>948</v>
      </c>
      <c r="C21" s="982" t="s">
        <v>205</v>
      </c>
    </row>
    <row r="22" spans="1:6" ht="23.25" customHeight="1">
      <c r="A22" s="393"/>
      <c r="B22" s="981" t="s">
        <v>206</v>
      </c>
      <c r="C22" s="982" t="s">
        <v>207</v>
      </c>
      <c r="F22" s="622"/>
    </row>
    <row r="23" spans="1:6">
      <c r="A23" s="393"/>
      <c r="B23" s="981" t="s">
        <v>208</v>
      </c>
      <c r="C23" s="982" t="s">
        <v>208</v>
      </c>
    </row>
    <row r="24" spans="1:6">
      <c r="A24" s="393"/>
      <c r="B24" s="981" t="s">
        <v>209</v>
      </c>
      <c r="C24" s="982" t="s">
        <v>210</v>
      </c>
    </row>
    <row r="25" spans="1:6" ht="12" thickBot="1">
      <c r="A25" s="159"/>
      <c r="B25" s="975" t="s">
        <v>211</v>
      </c>
      <c r="C25" s="976"/>
    </row>
    <row r="26" spans="1:6" ht="12.75" thickTop="1" thickBot="1">
      <c r="A26" s="965" t="s">
        <v>844</v>
      </c>
      <c r="B26" s="966"/>
      <c r="C26" s="967"/>
    </row>
    <row r="27" spans="1:6" ht="12.75" thickTop="1" thickBot="1">
      <c r="A27" s="160"/>
      <c r="B27" s="977" t="s">
        <v>845</v>
      </c>
      <c r="C27" s="978"/>
    </row>
    <row r="28" spans="1:6" ht="12.75" thickTop="1" thickBot="1">
      <c r="A28" s="965" t="s">
        <v>268</v>
      </c>
      <c r="B28" s="966"/>
      <c r="C28" s="967"/>
    </row>
    <row r="29" spans="1:6" ht="12" thickTop="1">
      <c r="A29" s="158"/>
      <c r="B29" s="979" t="s">
        <v>848</v>
      </c>
      <c r="C29" s="980" t="s">
        <v>212</v>
      </c>
    </row>
    <row r="30" spans="1:6">
      <c r="A30" s="393"/>
      <c r="B30" s="970" t="s">
        <v>216</v>
      </c>
      <c r="C30" s="971" t="s">
        <v>213</v>
      </c>
    </row>
    <row r="31" spans="1:6">
      <c r="A31" s="393"/>
      <c r="B31" s="970" t="s">
        <v>846</v>
      </c>
      <c r="C31" s="971" t="s">
        <v>214</v>
      </c>
    </row>
    <row r="32" spans="1:6">
      <c r="A32" s="393"/>
      <c r="B32" s="970" t="s">
        <v>847</v>
      </c>
      <c r="C32" s="971" t="s">
        <v>215</v>
      </c>
    </row>
    <row r="33" spans="1:3">
      <c r="A33" s="393"/>
      <c r="B33" s="970" t="s">
        <v>219</v>
      </c>
      <c r="C33" s="971" t="s">
        <v>220</v>
      </c>
    </row>
    <row r="34" spans="1:3">
      <c r="A34" s="393"/>
      <c r="B34" s="970" t="s">
        <v>849</v>
      </c>
      <c r="C34" s="971" t="s">
        <v>217</v>
      </c>
    </row>
    <row r="35" spans="1:3">
      <c r="A35" s="393"/>
      <c r="B35" s="970" t="s">
        <v>850</v>
      </c>
      <c r="C35" s="971" t="s">
        <v>218</v>
      </c>
    </row>
    <row r="36" spans="1:3">
      <c r="A36" s="393"/>
      <c r="B36" s="972" t="s">
        <v>851</v>
      </c>
      <c r="C36" s="973"/>
    </row>
    <row r="37" spans="1:3" ht="24.75" customHeight="1">
      <c r="A37" s="393"/>
      <c r="B37" s="970" t="s">
        <v>852</v>
      </c>
      <c r="C37" s="971" t="s">
        <v>221</v>
      </c>
    </row>
    <row r="38" spans="1:3" ht="23.25" customHeight="1">
      <c r="A38" s="393"/>
      <c r="B38" s="970" t="s">
        <v>853</v>
      </c>
      <c r="C38" s="971" t="s">
        <v>222</v>
      </c>
    </row>
    <row r="39" spans="1:3" ht="23.25" customHeight="1">
      <c r="A39" s="459"/>
      <c r="B39" s="972" t="s">
        <v>854</v>
      </c>
      <c r="C39" s="974"/>
    </row>
    <row r="40" spans="1:3" ht="12" customHeight="1">
      <c r="A40" s="393"/>
      <c r="B40" s="970" t="s">
        <v>855</v>
      </c>
      <c r="C40" s="971"/>
    </row>
    <row r="41" spans="1:3" ht="12" thickBot="1">
      <c r="A41" s="965" t="s">
        <v>269</v>
      </c>
      <c r="B41" s="966"/>
      <c r="C41" s="967"/>
    </row>
    <row r="42" spans="1:3" ht="12" thickTop="1">
      <c r="A42" s="158"/>
      <c r="B42" s="968" t="s">
        <v>299</v>
      </c>
      <c r="C42" s="969" t="s">
        <v>223</v>
      </c>
    </row>
    <row r="43" spans="1:3">
      <c r="A43" s="393"/>
      <c r="B43" s="945" t="s">
        <v>298</v>
      </c>
      <c r="C43" s="946"/>
    </row>
    <row r="44" spans="1:3" ht="23.25" customHeight="1" thickBot="1">
      <c r="A44" s="159"/>
      <c r="B44" s="963" t="s">
        <v>224</v>
      </c>
      <c r="C44" s="964" t="s">
        <v>225</v>
      </c>
    </row>
    <row r="45" spans="1:3" ht="11.25" customHeight="1" thickTop="1" thickBot="1">
      <c r="A45" s="965" t="s">
        <v>270</v>
      </c>
      <c r="B45" s="966"/>
      <c r="C45" s="967"/>
    </row>
    <row r="46" spans="1:3" ht="26.25" customHeight="1" thickTop="1">
      <c r="A46" s="393"/>
      <c r="B46" s="945" t="s">
        <v>271</v>
      </c>
      <c r="C46" s="946"/>
    </row>
    <row r="47" spans="1:3" ht="12" thickBot="1">
      <c r="A47" s="965" t="s">
        <v>272</v>
      </c>
      <c r="B47" s="966"/>
      <c r="C47" s="967"/>
    </row>
    <row r="48" spans="1:3" ht="12" thickTop="1">
      <c r="A48" s="158"/>
      <c r="B48" s="968" t="s">
        <v>226</v>
      </c>
      <c r="C48" s="969" t="s">
        <v>226</v>
      </c>
    </row>
    <row r="49" spans="1:3" ht="11.25" customHeight="1">
      <c r="A49" s="393"/>
      <c r="B49" s="945" t="s">
        <v>227</v>
      </c>
      <c r="C49" s="946" t="s">
        <v>227</v>
      </c>
    </row>
    <row r="50" spans="1:3">
      <c r="A50" s="393"/>
      <c r="B50" s="945" t="s">
        <v>228</v>
      </c>
      <c r="C50" s="946" t="s">
        <v>228</v>
      </c>
    </row>
    <row r="51" spans="1:3" ht="11.25" customHeight="1">
      <c r="A51" s="393"/>
      <c r="B51" s="945" t="s">
        <v>857</v>
      </c>
      <c r="C51" s="946" t="s">
        <v>229</v>
      </c>
    </row>
    <row r="52" spans="1:3" ht="33.6" customHeight="1">
      <c r="A52" s="393"/>
      <c r="B52" s="945" t="s">
        <v>230</v>
      </c>
      <c r="C52" s="946" t="s">
        <v>230</v>
      </c>
    </row>
    <row r="53" spans="1:3" ht="11.25" customHeight="1">
      <c r="A53" s="393"/>
      <c r="B53" s="945" t="s">
        <v>319</v>
      </c>
      <c r="C53" s="946" t="s">
        <v>231</v>
      </c>
    </row>
    <row r="54" spans="1:3" ht="11.25" customHeight="1" thickBot="1">
      <c r="A54" s="965" t="s">
        <v>273</v>
      </c>
      <c r="B54" s="966"/>
      <c r="C54" s="967"/>
    </row>
    <row r="55" spans="1:3" ht="12" thickTop="1">
      <c r="A55" s="158"/>
      <c r="B55" s="968" t="s">
        <v>226</v>
      </c>
      <c r="C55" s="969" t="s">
        <v>226</v>
      </c>
    </row>
    <row r="56" spans="1:3">
      <c r="A56" s="393"/>
      <c r="B56" s="945" t="s">
        <v>232</v>
      </c>
      <c r="C56" s="946" t="s">
        <v>232</v>
      </c>
    </row>
    <row r="57" spans="1:3">
      <c r="A57" s="393"/>
      <c r="B57" s="945" t="s">
        <v>276</v>
      </c>
      <c r="C57" s="946" t="s">
        <v>233</v>
      </c>
    </row>
    <row r="58" spans="1:3">
      <c r="A58" s="393"/>
      <c r="B58" s="945" t="s">
        <v>234</v>
      </c>
      <c r="C58" s="946" t="s">
        <v>234</v>
      </c>
    </row>
    <row r="59" spans="1:3">
      <c r="A59" s="393"/>
      <c r="B59" s="945" t="s">
        <v>235</v>
      </c>
      <c r="C59" s="946" t="s">
        <v>235</v>
      </c>
    </row>
    <row r="60" spans="1:3">
      <c r="A60" s="393"/>
      <c r="B60" s="945" t="s">
        <v>236</v>
      </c>
      <c r="C60" s="946" t="s">
        <v>236</v>
      </c>
    </row>
    <row r="61" spans="1:3">
      <c r="A61" s="393"/>
      <c r="B61" s="945" t="s">
        <v>277</v>
      </c>
      <c r="C61" s="946" t="s">
        <v>237</v>
      </c>
    </row>
    <row r="62" spans="1:3">
      <c r="A62" s="393"/>
      <c r="B62" s="945" t="s">
        <v>238</v>
      </c>
      <c r="C62" s="946" t="s">
        <v>238</v>
      </c>
    </row>
    <row r="63" spans="1:3" ht="12" thickBot="1">
      <c r="A63" s="159"/>
      <c r="B63" s="963" t="s">
        <v>239</v>
      </c>
      <c r="C63" s="964" t="s">
        <v>239</v>
      </c>
    </row>
    <row r="64" spans="1:3" ht="11.25" customHeight="1" thickTop="1">
      <c r="A64" s="951" t="s">
        <v>274</v>
      </c>
      <c r="B64" s="952"/>
      <c r="C64" s="953"/>
    </row>
    <row r="65" spans="1:3" ht="12" thickBot="1">
      <c r="A65" s="159"/>
      <c r="B65" s="963" t="s">
        <v>240</v>
      </c>
      <c r="C65" s="964" t="s">
        <v>240</v>
      </c>
    </row>
    <row r="66" spans="1:3" ht="11.25" customHeight="1" thickTop="1" thickBot="1">
      <c r="A66" s="965" t="s">
        <v>275</v>
      </c>
      <c r="B66" s="966"/>
      <c r="C66" s="967"/>
    </row>
    <row r="67" spans="1:3" ht="12" thickTop="1">
      <c r="A67" s="158"/>
      <c r="B67" s="968" t="s">
        <v>241</v>
      </c>
      <c r="C67" s="969" t="s">
        <v>241</v>
      </c>
    </row>
    <row r="68" spans="1:3">
      <c r="A68" s="393"/>
      <c r="B68" s="945" t="s">
        <v>859</v>
      </c>
      <c r="C68" s="946" t="s">
        <v>242</v>
      </c>
    </row>
    <row r="69" spans="1:3">
      <c r="A69" s="393"/>
      <c r="B69" s="945" t="s">
        <v>243</v>
      </c>
      <c r="C69" s="946" t="s">
        <v>243</v>
      </c>
    </row>
    <row r="70" spans="1:3" ht="55.35" customHeight="1">
      <c r="A70" s="393"/>
      <c r="B70" s="961" t="s">
        <v>688</v>
      </c>
      <c r="C70" s="962" t="s">
        <v>244</v>
      </c>
    </row>
    <row r="71" spans="1:3" ht="33.75" customHeight="1">
      <c r="A71" s="393"/>
      <c r="B71" s="961" t="s">
        <v>278</v>
      </c>
      <c r="C71" s="962" t="s">
        <v>245</v>
      </c>
    </row>
    <row r="72" spans="1:3" ht="15.75" customHeight="1">
      <c r="A72" s="393"/>
      <c r="B72" s="961" t="s">
        <v>860</v>
      </c>
      <c r="C72" s="962" t="s">
        <v>246</v>
      </c>
    </row>
    <row r="73" spans="1:3">
      <c r="A73" s="393"/>
      <c r="B73" s="945" t="s">
        <v>247</v>
      </c>
      <c r="C73" s="946" t="s">
        <v>247</v>
      </c>
    </row>
    <row r="74" spans="1:3" ht="12" thickBot="1">
      <c r="A74" s="159"/>
      <c r="B74" s="963" t="s">
        <v>248</v>
      </c>
      <c r="C74" s="964" t="s">
        <v>248</v>
      </c>
    </row>
    <row r="75" spans="1:3" ht="12" thickTop="1">
      <c r="A75" s="951" t="s">
        <v>302</v>
      </c>
      <c r="B75" s="952"/>
      <c r="C75" s="953"/>
    </row>
    <row r="76" spans="1:3">
      <c r="A76" s="393"/>
      <c r="B76" s="945" t="s">
        <v>240</v>
      </c>
      <c r="C76" s="946"/>
    </row>
    <row r="77" spans="1:3">
      <c r="A77" s="393"/>
      <c r="B77" s="945" t="s">
        <v>300</v>
      </c>
      <c r="C77" s="946"/>
    </row>
    <row r="78" spans="1:3">
      <c r="A78" s="393"/>
      <c r="B78" s="945" t="s">
        <v>301</v>
      </c>
      <c r="C78" s="946"/>
    </row>
    <row r="79" spans="1:3">
      <c r="A79" s="951" t="s">
        <v>303</v>
      </c>
      <c r="B79" s="952"/>
      <c r="C79" s="953"/>
    </row>
    <row r="80" spans="1:3">
      <c r="A80" s="393"/>
      <c r="B80" s="945" t="s">
        <v>240</v>
      </c>
      <c r="C80" s="946"/>
    </row>
    <row r="81" spans="1:3">
      <c r="A81" s="393"/>
      <c r="B81" s="945" t="s">
        <v>304</v>
      </c>
      <c r="C81" s="946"/>
    </row>
    <row r="82" spans="1:3" ht="79.5" customHeight="1">
      <c r="A82" s="393"/>
      <c r="B82" s="945" t="s">
        <v>318</v>
      </c>
      <c r="C82" s="946"/>
    </row>
    <row r="83" spans="1:3" ht="53.25" customHeight="1">
      <c r="A83" s="393"/>
      <c r="B83" s="945" t="s">
        <v>317</v>
      </c>
      <c r="C83" s="946"/>
    </row>
    <row r="84" spans="1:3">
      <c r="A84" s="393"/>
      <c r="B84" s="945" t="s">
        <v>305</v>
      </c>
      <c r="C84" s="946"/>
    </row>
    <row r="85" spans="1:3">
      <c r="A85" s="393"/>
      <c r="B85" s="945" t="s">
        <v>306</v>
      </c>
      <c r="C85" s="946"/>
    </row>
    <row r="86" spans="1:3">
      <c r="A86" s="393"/>
      <c r="B86" s="945" t="s">
        <v>307</v>
      </c>
      <c r="C86" s="946"/>
    </row>
    <row r="87" spans="1:3">
      <c r="A87" s="951" t="s">
        <v>308</v>
      </c>
      <c r="B87" s="952"/>
      <c r="C87" s="953"/>
    </row>
    <row r="88" spans="1:3">
      <c r="A88" s="393"/>
      <c r="B88" s="945" t="s">
        <v>240</v>
      </c>
      <c r="C88" s="946"/>
    </row>
    <row r="89" spans="1:3">
      <c r="A89" s="393"/>
      <c r="B89" s="945" t="s">
        <v>310</v>
      </c>
      <c r="C89" s="946"/>
    </row>
    <row r="90" spans="1:3" ht="12" customHeight="1">
      <c r="A90" s="393"/>
      <c r="B90" s="945" t="s">
        <v>311</v>
      </c>
      <c r="C90" s="946"/>
    </row>
    <row r="91" spans="1:3">
      <c r="A91" s="393"/>
      <c r="B91" s="945" t="s">
        <v>312</v>
      </c>
      <c r="C91" s="946"/>
    </row>
    <row r="92" spans="1:3" ht="24.75" customHeight="1">
      <c r="A92" s="393"/>
      <c r="B92" s="954" t="s">
        <v>348</v>
      </c>
      <c r="C92" s="955"/>
    </row>
    <row r="93" spans="1:3" ht="24" customHeight="1">
      <c r="A93" s="393"/>
      <c r="B93" s="954" t="s">
        <v>349</v>
      </c>
      <c r="C93" s="955"/>
    </row>
    <row r="94" spans="1:3" ht="13.5" customHeight="1">
      <c r="A94" s="393"/>
      <c r="B94" s="956" t="s">
        <v>313</v>
      </c>
      <c r="C94" s="957"/>
    </row>
    <row r="95" spans="1:3" ht="11.25" customHeight="1" thickBot="1">
      <c r="A95" s="958" t="s">
        <v>344</v>
      </c>
      <c r="B95" s="959"/>
      <c r="C95" s="960"/>
    </row>
    <row r="96" spans="1:3" ht="12.75" thickTop="1" thickBot="1">
      <c r="A96" s="950" t="s">
        <v>249</v>
      </c>
      <c r="B96" s="950"/>
      <c r="C96" s="950"/>
    </row>
    <row r="97" spans="1:3">
      <c r="A97" s="232">
        <v>2</v>
      </c>
      <c r="B97" s="378" t="s">
        <v>324</v>
      </c>
      <c r="C97" s="378" t="s">
        <v>345</v>
      </c>
    </row>
    <row r="98" spans="1:3">
      <c r="A98" s="163">
        <v>3</v>
      </c>
      <c r="B98" s="379" t="s">
        <v>325</v>
      </c>
      <c r="C98" s="380" t="s">
        <v>346</v>
      </c>
    </row>
    <row r="99" spans="1:3">
      <c r="A99" s="163">
        <v>4</v>
      </c>
      <c r="B99" s="379" t="s">
        <v>326</v>
      </c>
      <c r="C99" s="380" t="s">
        <v>350</v>
      </c>
    </row>
    <row r="100" spans="1:3" ht="11.25" customHeight="1">
      <c r="A100" s="163">
        <v>5</v>
      </c>
      <c r="B100" s="379" t="s">
        <v>327</v>
      </c>
      <c r="C100" s="380" t="s">
        <v>347</v>
      </c>
    </row>
    <row r="101" spans="1:3" ht="12" customHeight="1">
      <c r="A101" s="163">
        <v>6</v>
      </c>
      <c r="B101" s="379" t="s">
        <v>342</v>
      </c>
      <c r="C101" s="380" t="s">
        <v>328</v>
      </c>
    </row>
    <row r="102" spans="1:3" ht="12" customHeight="1">
      <c r="A102" s="163">
        <v>7</v>
      </c>
      <c r="B102" s="379" t="s">
        <v>329</v>
      </c>
      <c r="C102" s="380" t="s">
        <v>343</v>
      </c>
    </row>
    <row r="103" spans="1:3">
      <c r="A103" s="163">
        <v>8</v>
      </c>
      <c r="B103" s="379" t="s">
        <v>334</v>
      </c>
      <c r="C103" s="380" t="s">
        <v>354</v>
      </c>
    </row>
    <row r="104" spans="1:3" ht="11.25" customHeight="1">
      <c r="A104" s="951" t="s">
        <v>314</v>
      </c>
      <c r="B104" s="952"/>
      <c r="C104" s="953"/>
    </row>
    <row r="105" spans="1:3" ht="12" customHeight="1">
      <c r="A105" s="393"/>
      <c r="B105" s="945" t="s">
        <v>240</v>
      </c>
      <c r="C105" s="946"/>
    </row>
    <row r="106" spans="1:3">
      <c r="A106" s="951" t="s">
        <v>489</v>
      </c>
      <c r="B106" s="952"/>
      <c r="C106" s="953"/>
    </row>
    <row r="107" spans="1:3" ht="12" customHeight="1">
      <c r="A107" s="393"/>
      <c r="B107" s="945" t="s">
        <v>491</v>
      </c>
      <c r="C107" s="946"/>
    </row>
    <row r="108" spans="1:3">
      <c r="A108" s="393"/>
      <c r="B108" s="945" t="s">
        <v>492</v>
      </c>
      <c r="C108" s="946"/>
    </row>
    <row r="109" spans="1:3">
      <c r="A109" s="393"/>
      <c r="B109" s="945" t="s">
        <v>490</v>
      </c>
      <c r="C109" s="946"/>
    </row>
    <row r="110" spans="1:3">
      <c r="A110" s="942" t="s">
        <v>724</v>
      </c>
      <c r="B110" s="942"/>
      <c r="C110" s="942"/>
    </row>
    <row r="111" spans="1:3">
      <c r="A111" s="947" t="s">
        <v>187</v>
      </c>
      <c r="B111" s="947"/>
      <c r="C111" s="947"/>
    </row>
    <row r="112" spans="1:3">
      <c r="A112" s="600">
        <v>1</v>
      </c>
      <c r="B112" s="932" t="s">
        <v>607</v>
      </c>
      <c r="C112" s="933"/>
    </row>
    <row r="113" spans="1:3">
      <c r="A113" s="600">
        <v>2</v>
      </c>
      <c r="B113" s="948" t="s">
        <v>608</v>
      </c>
      <c r="C113" s="949"/>
    </row>
    <row r="114" spans="1:3">
      <c r="A114" s="600">
        <v>3</v>
      </c>
      <c r="B114" s="932" t="s">
        <v>934</v>
      </c>
      <c r="C114" s="933"/>
    </row>
    <row r="115" spans="1:3">
      <c r="A115" s="600">
        <v>4</v>
      </c>
      <c r="B115" s="932" t="s">
        <v>933</v>
      </c>
      <c r="C115" s="933"/>
    </row>
    <row r="116" spans="1:3">
      <c r="A116" s="600">
        <v>5</v>
      </c>
      <c r="B116" s="604" t="s">
        <v>932</v>
      </c>
      <c r="C116" s="603"/>
    </row>
    <row r="117" spans="1:3">
      <c r="A117" s="600">
        <v>6</v>
      </c>
      <c r="B117" s="932" t="s">
        <v>946</v>
      </c>
      <c r="C117" s="933"/>
    </row>
    <row r="118" spans="1:3" ht="48.6" customHeight="1">
      <c r="A118" s="600">
        <v>7</v>
      </c>
      <c r="B118" s="932" t="s">
        <v>947</v>
      </c>
      <c r="C118" s="933"/>
    </row>
    <row r="119" spans="1:3">
      <c r="A119" s="574">
        <v>8</v>
      </c>
      <c r="B119" s="571" t="s">
        <v>634</v>
      </c>
      <c r="C119" s="597" t="s">
        <v>931</v>
      </c>
    </row>
    <row r="120" spans="1:3" ht="22.5">
      <c r="A120" s="600">
        <v>9.01</v>
      </c>
      <c r="B120" s="571" t="s">
        <v>518</v>
      </c>
      <c r="C120" s="584" t="s">
        <v>683</v>
      </c>
    </row>
    <row r="121" spans="1:3" ht="33.75">
      <c r="A121" s="600">
        <v>9.02</v>
      </c>
      <c r="B121" s="571" t="s">
        <v>519</v>
      </c>
      <c r="C121" s="584" t="s">
        <v>686</v>
      </c>
    </row>
    <row r="122" spans="1:3">
      <c r="A122" s="600">
        <v>9.0299999999999994</v>
      </c>
      <c r="B122" s="587" t="s">
        <v>868</v>
      </c>
      <c r="C122" s="587" t="s">
        <v>609</v>
      </c>
    </row>
    <row r="123" spans="1:3">
      <c r="A123" s="600">
        <v>9.0399999999999991</v>
      </c>
      <c r="B123" s="571" t="s">
        <v>520</v>
      </c>
      <c r="C123" s="587" t="s">
        <v>610</v>
      </c>
    </row>
    <row r="124" spans="1:3">
      <c r="A124" s="600">
        <v>9.0500000000000007</v>
      </c>
      <c r="B124" s="571" t="s">
        <v>521</v>
      </c>
      <c r="C124" s="587" t="s">
        <v>611</v>
      </c>
    </row>
    <row r="125" spans="1:3" ht="22.5">
      <c r="A125" s="600">
        <v>9.06</v>
      </c>
      <c r="B125" s="571" t="s">
        <v>522</v>
      </c>
      <c r="C125" s="587" t="s">
        <v>612</v>
      </c>
    </row>
    <row r="126" spans="1:3">
      <c r="A126" s="600">
        <v>9.07</v>
      </c>
      <c r="B126" s="602" t="s">
        <v>523</v>
      </c>
      <c r="C126" s="587" t="s">
        <v>613</v>
      </c>
    </row>
    <row r="127" spans="1:3" ht="22.5">
      <c r="A127" s="600">
        <v>9.08</v>
      </c>
      <c r="B127" s="571" t="s">
        <v>524</v>
      </c>
      <c r="C127" s="587" t="s">
        <v>614</v>
      </c>
    </row>
    <row r="128" spans="1:3" ht="22.5">
      <c r="A128" s="600">
        <v>9.09</v>
      </c>
      <c r="B128" s="571" t="s">
        <v>525</v>
      </c>
      <c r="C128" s="587" t="s">
        <v>615</v>
      </c>
    </row>
    <row r="129" spans="1:3">
      <c r="A129" s="601">
        <v>9.1</v>
      </c>
      <c r="B129" s="571" t="s">
        <v>526</v>
      </c>
      <c r="C129" s="587" t="s">
        <v>616</v>
      </c>
    </row>
    <row r="130" spans="1:3">
      <c r="A130" s="600">
        <v>9.11</v>
      </c>
      <c r="B130" s="571" t="s">
        <v>527</v>
      </c>
      <c r="C130" s="587" t="s">
        <v>617</v>
      </c>
    </row>
    <row r="131" spans="1:3">
      <c r="A131" s="600">
        <v>9.1199999999999992</v>
      </c>
      <c r="B131" s="571" t="s">
        <v>528</v>
      </c>
      <c r="C131" s="587" t="s">
        <v>618</v>
      </c>
    </row>
    <row r="132" spans="1:3">
      <c r="A132" s="600">
        <v>9.1300000000000008</v>
      </c>
      <c r="B132" s="571" t="s">
        <v>529</v>
      </c>
      <c r="C132" s="587" t="s">
        <v>619</v>
      </c>
    </row>
    <row r="133" spans="1:3">
      <c r="A133" s="600">
        <v>9.14</v>
      </c>
      <c r="B133" s="571" t="s">
        <v>530</v>
      </c>
      <c r="C133" s="587" t="s">
        <v>620</v>
      </c>
    </row>
    <row r="134" spans="1:3">
      <c r="A134" s="600">
        <v>9.15</v>
      </c>
      <c r="B134" s="571" t="s">
        <v>531</v>
      </c>
      <c r="C134" s="587" t="s">
        <v>621</v>
      </c>
    </row>
    <row r="135" spans="1:3" ht="22.5">
      <c r="A135" s="600">
        <v>9.16</v>
      </c>
      <c r="B135" s="571" t="s">
        <v>532</v>
      </c>
      <c r="C135" s="587" t="s">
        <v>622</v>
      </c>
    </row>
    <row r="136" spans="1:3">
      <c r="A136" s="600">
        <v>9.17</v>
      </c>
      <c r="B136" s="587" t="s">
        <v>533</v>
      </c>
      <c r="C136" s="587" t="s">
        <v>623</v>
      </c>
    </row>
    <row r="137" spans="1:3" ht="22.5">
      <c r="A137" s="600">
        <v>9.18</v>
      </c>
      <c r="B137" s="571" t="s">
        <v>534</v>
      </c>
      <c r="C137" s="587" t="s">
        <v>624</v>
      </c>
    </row>
    <row r="138" spans="1:3">
      <c r="A138" s="600">
        <v>9.19</v>
      </c>
      <c r="B138" s="571" t="s">
        <v>535</v>
      </c>
      <c r="C138" s="587" t="s">
        <v>625</v>
      </c>
    </row>
    <row r="139" spans="1:3">
      <c r="A139" s="601">
        <v>9.1999999999999993</v>
      </c>
      <c r="B139" s="571" t="s">
        <v>536</v>
      </c>
      <c r="C139" s="587" t="s">
        <v>626</v>
      </c>
    </row>
    <row r="140" spans="1:3">
      <c r="A140" s="600">
        <v>9.2100000000000009</v>
      </c>
      <c r="B140" s="571" t="s">
        <v>537</v>
      </c>
      <c r="C140" s="587" t="s">
        <v>627</v>
      </c>
    </row>
    <row r="141" spans="1:3">
      <c r="A141" s="600">
        <v>9.2200000000000006</v>
      </c>
      <c r="B141" s="571" t="s">
        <v>538</v>
      </c>
      <c r="C141" s="587" t="s">
        <v>628</v>
      </c>
    </row>
    <row r="142" spans="1:3" ht="22.5">
      <c r="A142" s="600">
        <v>9.23</v>
      </c>
      <c r="B142" s="571" t="s">
        <v>539</v>
      </c>
      <c r="C142" s="587" t="s">
        <v>629</v>
      </c>
    </row>
    <row r="143" spans="1:3" ht="22.5">
      <c r="A143" s="600">
        <v>9.24</v>
      </c>
      <c r="B143" s="571" t="s">
        <v>540</v>
      </c>
      <c r="C143" s="587" t="s">
        <v>630</v>
      </c>
    </row>
    <row r="144" spans="1:3">
      <c r="A144" s="600">
        <v>9.2500000000000107</v>
      </c>
      <c r="B144" s="571" t="s">
        <v>541</v>
      </c>
      <c r="C144" s="587" t="s">
        <v>631</v>
      </c>
    </row>
    <row r="145" spans="1:3" ht="22.5">
      <c r="A145" s="600">
        <v>9.2600000000000193</v>
      </c>
      <c r="B145" s="571" t="s">
        <v>632</v>
      </c>
      <c r="C145" s="599" t="s">
        <v>633</v>
      </c>
    </row>
    <row r="146" spans="1:3" s="394" customFormat="1" ht="22.5">
      <c r="A146" s="600">
        <v>9.2700000000000298</v>
      </c>
      <c r="B146" s="571" t="s">
        <v>99</v>
      </c>
      <c r="C146" s="599" t="s">
        <v>684</v>
      </c>
    </row>
    <row r="147" spans="1:3" s="394" customFormat="1">
      <c r="A147" s="575"/>
      <c r="B147" s="928" t="s">
        <v>635</v>
      </c>
      <c r="C147" s="929"/>
    </row>
    <row r="148" spans="1:3" s="394" customFormat="1">
      <c r="A148" s="574">
        <v>1</v>
      </c>
      <c r="B148" s="934" t="s">
        <v>930</v>
      </c>
      <c r="C148" s="935"/>
    </row>
    <row r="149" spans="1:3" s="394" customFormat="1">
      <c r="A149" s="574">
        <v>2</v>
      </c>
      <c r="B149" s="934" t="s">
        <v>685</v>
      </c>
      <c r="C149" s="935"/>
    </row>
    <row r="150" spans="1:3" s="394" customFormat="1">
      <c r="A150" s="574">
        <v>3</v>
      </c>
      <c r="B150" s="934" t="s">
        <v>682</v>
      </c>
      <c r="C150" s="935"/>
    </row>
    <row r="151" spans="1:3" s="394" customFormat="1">
      <c r="A151" s="575"/>
      <c r="B151" s="928" t="s">
        <v>636</v>
      </c>
      <c r="C151" s="929"/>
    </row>
    <row r="152" spans="1:3" s="394" customFormat="1">
      <c r="A152" s="574">
        <v>1</v>
      </c>
      <c r="B152" s="936" t="s">
        <v>929</v>
      </c>
      <c r="C152" s="937"/>
    </row>
    <row r="153" spans="1:3" s="394" customFormat="1">
      <c r="A153" s="574">
        <v>2</v>
      </c>
      <c r="B153" s="571" t="s">
        <v>866</v>
      </c>
      <c r="C153" s="597" t="s">
        <v>951</v>
      </c>
    </row>
    <row r="154" spans="1:3" ht="22.5">
      <c r="A154" s="574">
        <v>3</v>
      </c>
      <c r="B154" s="571" t="s">
        <v>865</v>
      </c>
      <c r="C154" s="597" t="s">
        <v>928</v>
      </c>
    </row>
    <row r="155" spans="1:3">
      <c r="A155" s="574">
        <v>4</v>
      </c>
      <c r="B155" s="571" t="s">
        <v>511</v>
      </c>
      <c r="C155" s="571" t="s">
        <v>952</v>
      </c>
    </row>
    <row r="156" spans="1:3" ht="25.35" customHeight="1">
      <c r="A156" s="575"/>
      <c r="B156" s="928" t="s">
        <v>637</v>
      </c>
      <c r="C156" s="929"/>
    </row>
    <row r="157" spans="1:3" ht="33.75">
      <c r="A157" s="574"/>
      <c r="B157" s="571" t="s">
        <v>917</v>
      </c>
      <c r="C157" s="576" t="s">
        <v>953</v>
      </c>
    </row>
    <row r="158" spans="1:3">
      <c r="A158" s="575"/>
      <c r="B158" s="928" t="s">
        <v>638</v>
      </c>
      <c r="C158" s="929"/>
    </row>
    <row r="159" spans="1:3" ht="39" customHeight="1">
      <c r="A159" s="575"/>
      <c r="B159" s="930" t="s">
        <v>927</v>
      </c>
      <c r="C159" s="931"/>
    </row>
    <row r="160" spans="1:3">
      <c r="A160" s="575" t="s">
        <v>639</v>
      </c>
      <c r="B160" s="598" t="s">
        <v>549</v>
      </c>
      <c r="C160" s="589" t="s">
        <v>640</v>
      </c>
    </row>
    <row r="161" spans="1:3">
      <c r="A161" s="575" t="s">
        <v>369</v>
      </c>
      <c r="B161" s="595" t="s">
        <v>550</v>
      </c>
      <c r="C161" s="597" t="s">
        <v>926</v>
      </c>
    </row>
    <row r="162" spans="1:3" ht="22.5">
      <c r="A162" s="575" t="s">
        <v>376</v>
      </c>
      <c r="B162" s="589" t="s">
        <v>551</v>
      </c>
      <c r="C162" s="597" t="s">
        <v>641</v>
      </c>
    </row>
    <row r="163" spans="1:3">
      <c r="A163" s="575" t="s">
        <v>642</v>
      </c>
      <c r="B163" s="595" t="s">
        <v>552</v>
      </c>
      <c r="C163" s="596" t="s">
        <v>643</v>
      </c>
    </row>
    <row r="164" spans="1:3" ht="22.5">
      <c r="A164" s="575" t="s">
        <v>644</v>
      </c>
      <c r="B164" s="595" t="s">
        <v>881</v>
      </c>
      <c r="C164" s="594" t="s">
        <v>925</v>
      </c>
    </row>
    <row r="165" spans="1:3" ht="22.5">
      <c r="A165" s="575" t="s">
        <v>377</v>
      </c>
      <c r="B165" s="595" t="s">
        <v>553</v>
      </c>
      <c r="C165" s="594" t="s">
        <v>646</v>
      </c>
    </row>
    <row r="166" spans="1:3" ht="22.5">
      <c r="A166" s="575" t="s">
        <v>645</v>
      </c>
      <c r="B166" s="592" t="s">
        <v>556</v>
      </c>
      <c r="C166" s="593" t="s">
        <v>653</v>
      </c>
    </row>
    <row r="167" spans="1:3" ht="22.5">
      <c r="A167" s="575" t="s">
        <v>647</v>
      </c>
      <c r="B167" s="592" t="s">
        <v>554</v>
      </c>
      <c r="C167" s="594" t="s">
        <v>649</v>
      </c>
    </row>
    <row r="168" spans="1:3" ht="26.85" customHeight="1">
      <c r="A168" s="575" t="s">
        <v>648</v>
      </c>
      <c r="B168" s="592" t="s">
        <v>555</v>
      </c>
      <c r="C168" s="593" t="s">
        <v>651</v>
      </c>
    </row>
    <row r="169" spans="1:3" ht="22.5">
      <c r="A169" s="575" t="s">
        <v>650</v>
      </c>
      <c r="B169" s="569" t="s">
        <v>557</v>
      </c>
      <c r="C169" s="593" t="s">
        <v>655</v>
      </c>
    </row>
    <row r="170" spans="1:3" ht="22.5">
      <c r="A170" s="575" t="s">
        <v>652</v>
      </c>
      <c r="B170" s="592" t="s">
        <v>558</v>
      </c>
      <c r="C170" s="591" t="s">
        <v>656</v>
      </c>
    </row>
    <row r="171" spans="1:3">
      <c r="A171" s="575" t="s">
        <v>654</v>
      </c>
      <c r="B171" s="590" t="s">
        <v>559</v>
      </c>
      <c r="C171" s="589" t="s">
        <v>657</v>
      </c>
    </row>
    <row r="172" spans="1:3" ht="22.5">
      <c r="A172" s="575"/>
      <c r="B172" s="588" t="s">
        <v>924</v>
      </c>
      <c r="C172" s="587" t="s">
        <v>658</v>
      </c>
    </row>
    <row r="173" spans="1:3" ht="22.5">
      <c r="A173" s="575"/>
      <c r="B173" s="588" t="s">
        <v>923</v>
      </c>
      <c r="C173" s="587" t="s">
        <v>659</v>
      </c>
    </row>
    <row r="174" spans="1:3" ht="22.5">
      <c r="A174" s="575"/>
      <c r="B174" s="588" t="s">
        <v>922</v>
      </c>
      <c r="C174" s="587" t="s">
        <v>660</v>
      </c>
    </row>
    <row r="175" spans="1:3">
      <c r="A175" s="575"/>
      <c r="B175" s="928" t="s">
        <v>661</v>
      </c>
      <c r="C175" s="929"/>
    </row>
    <row r="176" spans="1:3">
      <c r="A176" s="575"/>
      <c r="B176" s="934" t="s">
        <v>921</v>
      </c>
      <c r="C176" s="935"/>
    </row>
    <row r="177" spans="1:3">
      <c r="A177" s="574">
        <v>1</v>
      </c>
      <c r="B177" s="587" t="s">
        <v>563</v>
      </c>
      <c r="C177" s="587" t="s">
        <v>563</v>
      </c>
    </row>
    <row r="178" spans="1:3" ht="33.75">
      <c r="A178" s="574">
        <v>2</v>
      </c>
      <c r="B178" s="587" t="s">
        <v>662</v>
      </c>
      <c r="C178" s="587" t="s">
        <v>663</v>
      </c>
    </row>
    <row r="179" spans="1:3">
      <c r="A179" s="574">
        <v>3</v>
      </c>
      <c r="B179" s="587" t="s">
        <v>565</v>
      </c>
      <c r="C179" s="587" t="s">
        <v>664</v>
      </c>
    </row>
    <row r="180" spans="1:3" ht="22.5">
      <c r="A180" s="574">
        <v>4</v>
      </c>
      <c r="B180" s="587" t="s">
        <v>566</v>
      </c>
      <c r="C180" s="587" t="s">
        <v>665</v>
      </c>
    </row>
    <row r="181" spans="1:3" ht="22.5">
      <c r="A181" s="574">
        <v>5</v>
      </c>
      <c r="B181" s="587" t="s">
        <v>567</v>
      </c>
      <c r="C181" s="587" t="s">
        <v>687</v>
      </c>
    </row>
    <row r="182" spans="1:3" ht="45">
      <c r="A182" s="574">
        <v>6</v>
      </c>
      <c r="B182" s="587" t="s">
        <v>568</v>
      </c>
      <c r="C182" s="587" t="s">
        <v>666</v>
      </c>
    </row>
    <row r="183" spans="1:3">
      <c r="A183" s="575"/>
      <c r="B183" s="928" t="s">
        <v>667</v>
      </c>
      <c r="C183" s="929"/>
    </row>
    <row r="184" spans="1:3">
      <c r="A184" s="575"/>
      <c r="B184" s="939" t="s">
        <v>920</v>
      </c>
      <c r="C184" s="940"/>
    </row>
    <row r="185" spans="1:3" ht="22.5">
      <c r="A185" s="575">
        <v>1.1000000000000001</v>
      </c>
      <c r="B185" s="586" t="s">
        <v>573</v>
      </c>
      <c r="C185" s="584" t="s">
        <v>668</v>
      </c>
    </row>
    <row r="186" spans="1:3" ht="50.1" customHeight="1">
      <c r="A186" s="575" t="s">
        <v>157</v>
      </c>
      <c r="B186" s="570" t="s">
        <v>574</v>
      </c>
      <c r="C186" s="584" t="s">
        <v>669</v>
      </c>
    </row>
    <row r="187" spans="1:3">
      <c r="A187" s="575" t="s">
        <v>575</v>
      </c>
      <c r="B187" s="585" t="s">
        <v>576</v>
      </c>
      <c r="C187" s="941" t="s">
        <v>919</v>
      </c>
    </row>
    <row r="188" spans="1:3">
      <c r="A188" s="575" t="s">
        <v>577</v>
      </c>
      <c r="B188" s="585" t="s">
        <v>578</v>
      </c>
      <c r="C188" s="941"/>
    </row>
    <row r="189" spans="1:3">
      <c r="A189" s="575" t="s">
        <v>579</v>
      </c>
      <c r="B189" s="585" t="s">
        <v>580</v>
      </c>
      <c r="C189" s="941"/>
    </row>
    <row r="190" spans="1:3">
      <c r="A190" s="575" t="s">
        <v>581</v>
      </c>
      <c r="B190" s="585" t="s">
        <v>582</v>
      </c>
      <c r="C190" s="941"/>
    </row>
    <row r="191" spans="1:3" ht="25.5" customHeight="1">
      <c r="A191" s="575">
        <v>1.2</v>
      </c>
      <c r="B191" s="583" t="s">
        <v>895</v>
      </c>
      <c r="C191" s="568" t="s">
        <v>954</v>
      </c>
    </row>
    <row r="192" spans="1:3" ht="22.5">
      <c r="A192" s="575" t="s">
        <v>584</v>
      </c>
      <c r="B192" s="578" t="s">
        <v>585</v>
      </c>
      <c r="C192" s="581" t="s">
        <v>670</v>
      </c>
    </row>
    <row r="193" spans="1:4" ht="22.5">
      <c r="A193" s="575" t="s">
        <v>586</v>
      </c>
      <c r="B193" s="582" t="s">
        <v>587</v>
      </c>
      <c r="C193" s="581" t="s">
        <v>671</v>
      </c>
    </row>
    <row r="194" spans="1:4" ht="26.1" customHeight="1">
      <c r="A194" s="575" t="s">
        <v>588</v>
      </c>
      <c r="B194" s="580" t="s">
        <v>589</v>
      </c>
      <c r="C194" s="568" t="s">
        <v>672</v>
      </c>
    </row>
    <row r="195" spans="1:4" ht="22.5">
      <c r="A195" s="575" t="s">
        <v>590</v>
      </c>
      <c r="B195" s="579" t="s">
        <v>591</v>
      </c>
      <c r="C195" s="568" t="s">
        <v>673</v>
      </c>
      <c r="D195" s="395"/>
    </row>
    <row r="196" spans="1:4" ht="22.5">
      <c r="A196" s="575">
        <v>1.4</v>
      </c>
      <c r="B196" s="578" t="s">
        <v>680</v>
      </c>
      <c r="C196" s="577" t="s">
        <v>674</v>
      </c>
      <c r="D196" s="396"/>
    </row>
    <row r="197" spans="1:4" ht="12.75">
      <c r="A197" s="575">
        <v>1.5</v>
      </c>
      <c r="B197" s="578" t="s">
        <v>681</v>
      </c>
      <c r="C197" s="577" t="s">
        <v>674</v>
      </c>
      <c r="D197" s="397"/>
    </row>
    <row r="198" spans="1:4" ht="12.75">
      <c r="A198" s="575"/>
      <c r="B198" s="942" t="s">
        <v>675</v>
      </c>
      <c r="C198" s="942"/>
      <c r="D198" s="397"/>
    </row>
    <row r="199" spans="1:4" ht="12.75">
      <c r="A199" s="575"/>
      <c r="B199" s="939" t="s">
        <v>918</v>
      </c>
      <c r="C199" s="939"/>
      <c r="D199" s="397"/>
    </row>
    <row r="200" spans="1:4" ht="12.75">
      <c r="A200" s="574"/>
      <c r="B200" s="571" t="s">
        <v>917</v>
      </c>
      <c r="C200" s="576" t="s">
        <v>951</v>
      </c>
      <c r="D200" s="397"/>
    </row>
    <row r="201" spans="1:4" ht="12.75">
      <c r="A201" s="575"/>
      <c r="B201" s="942" t="s">
        <v>676</v>
      </c>
      <c r="C201" s="942"/>
      <c r="D201" s="398"/>
    </row>
    <row r="202" spans="1:4" ht="12.75">
      <c r="A202" s="574"/>
      <c r="B202" s="943" t="s">
        <v>916</v>
      </c>
      <c r="C202" s="943"/>
      <c r="D202" s="399"/>
    </row>
    <row r="203" spans="1:4" ht="12.75">
      <c r="B203" s="942" t="s">
        <v>714</v>
      </c>
      <c r="C203" s="942"/>
      <c r="D203" s="400"/>
    </row>
    <row r="204" spans="1:4" ht="22.5">
      <c r="A204" s="570">
        <v>1</v>
      </c>
      <c r="B204" s="571" t="s">
        <v>690</v>
      </c>
      <c r="C204" s="568" t="s">
        <v>702</v>
      </c>
      <c r="D204" s="399"/>
    </row>
    <row r="205" spans="1:4" ht="18" customHeight="1">
      <c r="A205" s="570">
        <v>2</v>
      </c>
      <c r="B205" s="571" t="s">
        <v>691</v>
      </c>
      <c r="C205" s="568" t="s">
        <v>703</v>
      </c>
      <c r="D205" s="400"/>
    </row>
    <row r="206" spans="1:4" ht="22.5">
      <c r="A206" s="570">
        <v>3</v>
      </c>
      <c r="B206" s="571" t="s">
        <v>692</v>
      </c>
      <c r="C206" s="571" t="s">
        <v>704</v>
      </c>
      <c r="D206" s="401"/>
    </row>
    <row r="207" spans="1:4" ht="12.75">
      <c r="A207" s="570">
        <v>4</v>
      </c>
      <c r="B207" s="571" t="s">
        <v>693</v>
      </c>
      <c r="C207" s="571" t="s">
        <v>705</v>
      </c>
      <c r="D207" s="401"/>
    </row>
    <row r="208" spans="1:4" ht="22.5">
      <c r="A208" s="570">
        <v>5</v>
      </c>
      <c r="B208" s="571" t="s">
        <v>694</v>
      </c>
      <c r="C208" s="571" t="s">
        <v>706</v>
      </c>
    </row>
    <row r="209" spans="1:3" ht="24.6" customHeight="1">
      <c r="A209" s="570">
        <v>6</v>
      </c>
      <c r="B209" s="571" t="s">
        <v>695</v>
      </c>
      <c r="C209" s="571" t="s">
        <v>707</v>
      </c>
    </row>
    <row r="210" spans="1:3" ht="22.5">
      <c r="A210" s="570">
        <v>7</v>
      </c>
      <c r="B210" s="571" t="s">
        <v>696</v>
      </c>
      <c r="C210" s="571" t="s">
        <v>708</v>
      </c>
    </row>
    <row r="211" spans="1:3">
      <c r="A211" s="570">
        <v>7.1</v>
      </c>
      <c r="B211" s="573" t="s">
        <v>697</v>
      </c>
      <c r="C211" s="571" t="s">
        <v>709</v>
      </c>
    </row>
    <row r="212" spans="1:3" ht="22.5">
      <c r="A212" s="570">
        <v>7.2</v>
      </c>
      <c r="B212" s="573" t="s">
        <v>698</v>
      </c>
      <c r="C212" s="571" t="s">
        <v>710</v>
      </c>
    </row>
    <row r="213" spans="1:3">
      <c r="A213" s="570">
        <v>7.3</v>
      </c>
      <c r="B213" s="572" t="s">
        <v>699</v>
      </c>
      <c r="C213" s="571" t="s">
        <v>711</v>
      </c>
    </row>
    <row r="214" spans="1:3" ht="39.6" customHeight="1">
      <c r="A214" s="570">
        <v>8</v>
      </c>
      <c r="B214" s="571" t="s">
        <v>700</v>
      </c>
      <c r="C214" s="568" t="s">
        <v>712</v>
      </c>
    </row>
    <row r="215" spans="1:3">
      <c r="A215" s="570">
        <v>9</v>
      </c>
      <c r="B215" s="571" t="s">
        <v>701</v>
      </c>
      <c r="C215" s="568" t="s">
        <v>713</v>
      </c>
    </row>
    <row r="216" spans="1:3" ht="22.5">
      <c r="A216" s="613">
        <v>10.1</v>
      </c>
      <c r="B216" s="614" t="s">
        <v>721</v>
      </c>
      <c r="C216" s="605" t="s">
        <v>722</v>
      </c>
    </row>
    <row r="217" spans="1:3">
      <c r="A217" s="944"/>
      <c r="B217" s="615" t="s">
        <v>908</v>
      </c>
      <c r="C217" s="568" t="s">
        <v>915</v>
      </c>
    </row>
    <row r="218" spans="1:3">
      <c r="A218" s="944"/>
      <c r="B218" s="569" t="s">
        <v>572</v>
      </c>
      <c r="C218" s="568" t="s">
        <v>914</v>
      </c>
    </row>
    <row r="219" spans="1:3">
      <c r="A219" s="944"/>
      <c r="B219" s="569" t="s">
        <v>907</v>
      </c>
      <c r="C219" s="568" t="s">
        <v>955</v>
      </c>
    </row>
    <row r="220" spans="1:3">
      <c r="A220" s="944"/>
      <c r="B220" s="569" t="s">
        <v>715</v>
      </c>
      <c r="C220" s="568" t="s">
        <v>913</v>
      </c>
    </row>
    <row r="221" spans="1:3" ht="22.5">
      <c r="A221" s="944"/>
      <c r="B221" s="569" t="s">
        <v>719</v>
      </c>
      <c r="C221" s="584" t="s">
        <v>912</v>
      </c>
    </row>
    <row r="222" spans="1:3" ht="33.75">
      <c r="A222" s="944"/>
      <c r="B222" s="569" t="s">
        <v>718</v>
      </c>
      <c r="C222" s="568" t="s">
        <v>911</v>
      </c>
    </row>
    <row r="223" spans="1:3">
      <c r="A223" s="944"/>
      <c r="B223" s="569" t="s">
        <v>956</v>
      </c>
      <c r="C223" s="568" t="s">
        <v>910</v>
      </c>
    </row>
    <row r="224" spans="1:3" ht="22.5">
      <c r="A224" s="944"/>
      <c r="B224" s="569" t="s">
        <v>957</v>
      </c>
      <c r="C224" s="568" t="s">
        <v>909</v>
      </c>
    </row>
    <row r="225" spans="1:3" ht="12.75">
      <c r="A225" s="606"/>
      <c r="B225" s="607"/>
      <c r="C225" s="608"/>
    </row>
    <row r="226" spans="1:3" ht="12.75">
      <c r="A226" s="606"/>
      <c r="B226" s="608"/>
      <c r="C226" s="609"/>
    </row>
    <row r="227" spans="1:3" ht="12.75">
      <c r="A227" s="606"/>
      <c r="B227" s="608"/>
      <c r="C227" s="609"/>
    </row>
    <row r="228" spans="1:3" ht="12.75">
      <c r="A228" s="606"/>
      <c r="B228" s="610"/>
      <c r="C228" s="609"/>
    </row>
    <row r="229" spans="1:3" ht="12.75">
      <c r="A229" s="938"/>
      <c r="B229" s="611"/>
      <c r="C229" s="609"/>
    </row>
    <row r="230" spans="1:3" ht="12.75">
      <c r="A230" s="938"/>
      <c r="B230" s="611"/>
      <c r="C230" s="609"/>
    </row>
    <row r="231" spans="1:3" ht="12.75">
      <c r="A231" s="938"/>
      <c r="B231" s="611"/>
      <c r="C231" s="609"/>
    </row>
    <row r="232" spans="1:3" ht="12.75">
      <c r="A232" s="938"/>
      <c r="B232" s="611"/>
      <c r="C232" s="612"/>
    </row>
    <row r="233" spans="1:3" ht="40.5" customHeight="1">
      <c r="A233" s="938"/>
      <c r="B233" s="611"/>
      <c r="C233" s="609"/>
    </row>
    <row r="234" spans="1:3" ht="24" customHeight="1">
      <c r="A234" s="938"/>
      <c r="B234" s="611"/>
      <c r="C234" s="609"/>
    </row>
    <row r="235" spans="1:3" ht="12.75">
      <c r="A235" s="938"/>
      <c r="B235" s="611"/>
      <c r="C235" s="609"/>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zoomScale="70" zoomScaleNormal="70" workbookViewId="0">
      <selection activeCell="C6" sqref="C6:H68"/>
    </sheetView>
  </sheetViews>
  <sheetFormatPr defaultRowHeight="15"/>
  <cols>
    <col min="2" max="2" width="66.7109375" customWidth="1"/>
    <col min="3" max="8" width="17.7109375" customWidth="1"/>
  </cols>
  <sheetData>
    <row r="1" spans="1:8" ht="15.75">
      <c r="A1" s="17" t="s">
        <v>108</v>
      </c>
      <c r="B1" s="308" t="str">
        <f>Info!C2</f>
        <v>JSC "VTB Bank (Georgia)"</v>
      </c>
      <c r="C1" s="16"/>
      <c r="D1" s="229"/>
      <c r="E1" s="229"/>
      <c r="F1" s="229"/>
      <c r="G1" s="229"/>
    </row>
    <row r="2" spans="1:8" ht="15.75">
      <c r="A2" s="17" t="s">
        <v>109</v>
      </c>
      <c r="B2" s="339">
        <f>Info!D2</f>
        <v>45473</v>
      </c>
      <c r="C2" s="29"/>
      <c r="D2" s="18"/>
      <c r="E2" s="18"/>
      <c r="F2" s="18"/>
      <c r="G2" s="18"/>
      <c r="H2" s="1"/>
    </row>
    <row r="3" spans="1:8" ht="15.75">
      <c r="A3" s="17"/>
      <c r="B3" s="16"/>
      <c r="C3" s="29"/>
      <c r="D3" s="18"/>
      <c r="E3" s="18"/>
      <c r="F3" s="18"/>
      <c r="G3" s="18"/>
      <c r="H3" s="1"/>
    </row>
    <row r="4" spans="1:8">
      <c r="A4" s="821" t="s">
        <v>25</v>
      </c>
      <c r="B4" s="819" t="s">
        <v>166</v>
      </c>
      <c r="C4" s="814" t="s">
        <v>114</v>
      </c>
      <c r="D4" s="814"/>
      <c r="E4" s="814"/>
      <c r="F4" s="814" t="s">
        <v>115</v>
      </c>
      <c r="G4" s="814"/>
      <c r="H4" s="815"/>
    </row>
    <row r="5" spans="1:8" ht="15.6" customHeight="1">
      <c r="A5" s="822"/>
      <c r="B5" s="820"/>
      <c r="C5" s="433" t="s">
        <v>26</v>
      </c>
      <c r="D5" s="433" t="s">
        <v>88</v>
      </c>
      <c r="E5" s="433" t="s">
        <v>66</v>
      </c>
      <c r="F5" s="433" t="s">
        <v>26</v>
      </c>
      <c r="G5" s="433" t="s">
        <v>88</v>
      </c>
      <c r="H5" s="433" t="s">
        <v>66</v>
      </c>
    </row>
    <row r="6" spans="1:8">
      <c r="A6" s="460">
        <v>1</v>
      </c>
      <c r="B6" s="434" t="s">
        <v>776</v>
      </c>
      <c r="C6" s="698">
        <v>5194848.1745494595</v>
      </c>
      <c r="D6" s="698">
        <v>3520232.8956694221</v>
      </c>
      <c r="E6" s="677">
        <f>C6+D6</f>
        <v>8715081.0702188816</v>
      </c>
      <c r="F6" s="698">
        <v>9188732.5965200048</v>
      </c>
      <c r="G6" s="698">
        <v>2630636.9999999995</v>
      </c>
      <c r="H6" s="677">
        <f>F6+G6</f>
        <v>11819369.596520005</v>
      </c>
    </row>
    <row r="7" spans="1:8">
      <c r="A7" s="460">
        <v>1.1000000000000001</v>
      </c>
      <c r="B7" s="435" t="s">
        <v>730</v>
      </c>
      <c r="C7" s="698"/>
      <c r="D7" s="698"/>
      <c r="E7" s="677">
        <f t="shared" ref="E7:E45" si="0">C7+D7</f>
        <v>0</v>
      </c>
      <c r="F7" s="698"/>
      <c r="G7" s="698"/>
      <c r="H7" s="677">
        <f t="shared" ref="H7:H45" si="1">F7+G7</f>
        <v>0</v>
      </c>
    </row>
    <row r="8" spans="1:8" ht="21">
      <c r="A8" s="460">
        <v>1.2</v>
      </c>
      <c r="B8" s="435" t="s">
        <v>777</v>
      </c>
      <c r="C8" s="698">
        <v>0</v>
      </c>
      <c r="D8" s="698"/>
      <c r="E8" s="677">
        <f t="shared" si="0"/>
        <v>0</v>
      </c>
      <c r="F8" s="698">
        <v>172436.42999999993</v>
      </c>
      <c r="G8" s="698"/>
      <c r="H8" s="677">
        <f t="shared" si="1"/>
        <v>172436.42999999993</v>
      </c>
    </row>
    <row r="9" spans="1:8" ht="21.6" customHeight="1">
      <c r="A9" s="460">
        <v>1.3</v>
      </c>
      <c r="B9" s="429" t="s">
        <v>778</v>
      </c>
      <c r="C9" s="698"/>
      <c r="D9" s="698"/>
      <c r="E9" s="677">
        <f t="shared" si="0"/>
        <v>0</v>
      </c>
      <c r="F9" s="698"/>
      <c r="G9" s="698"/>
      <c r="H9" s="677">
        <f t="shared" si="1"/>
        <v>0</v>
      </c>
    </row>
    <row r="10" spans="1:8" ht="21">
      <c r="A10" s="460">
        <v>1.4</v>
      </c>
      <c r="B10" s="429" t="s">
        <v>734</v>
      </c>
      <c r="C10" s="698"/>
      <c r="D10" s="698"/>
      <c r="E10" s="677">
        <f t="shared" si="0"/>
        <v>0</v>
      </c>
      <c r="F10" s="698"/>
      <c r="G10" s="698"/>
      <c r="H10" s="677">
        <f t="shared" si="1"/>
        <v>0</v>
      </c>
    </row>
    <row r="11" spans="1:8">
      <c r="A11" s="460">
        <v>1.5</v>
      </c>
      <c r="B11" s="429" t="s">
        <v>737</v>
      </c>
      <c r="C11" s="698">
        <v>5194848.1745494595</v>
      </c>
      <c r="D11" s="698">
        <v>3520232.8956694221</v>
      </c>
      <c r="E11" s="677">
        <f t="shared" si="0"/>
        <v>8715081.0702188816</v>
      </c>
      <c r="F11" s="698">
        <v>9016296.1665200051</v>
      </c>
      <c r="G11" s="698">
        <v>2630636.9999999995</v>
      </c>
      <c r="H11" s="677">
        <f t="shared" si="1"/>
        <v>11646933.166520005</v>
      </c>
    </row>
    <row r="12" spans="1:8">
      <c r="A12" s="460">
        <v>1.6</v>
      </c>
      <c r="B12" s="436" t="s">
        <v>99</v>
      </c>
      <c r="C12" s="698"/>
      <c r="D12" s="698"/>
      <c r="E12" s="677">
        <f t="shared" si="0"/>
        <v>0</v>
      </c>
      <c r="F12" s="698"/>
      <c r="G12" s="698"/>
      <c r="H12" s="677">
        <f t="shared" si="1"/>
        <v>0</v>
      </c>
    </row>
    <row r="13" spans="1:8">
      <c r="A13" s="460">
        <v>2</v>
      </c>
      <c r="B13" s="437" t="s">
        <v>779</v>
      </c>
      <c r="C13" s="698">
        <v>-604435.38</v>
      </c>
      <c r="D13" s="698">
        <v>-4182731.26</v>
      </c>
      <c r="E13" s="677">
        <f t="shared" si="0"/>
        <v>-4787166.6399999997</v>
      </c>
      <c r="F13" s="698">
        <v>-869441.08110000007</v>
      </c>
      <c r="G13" s="698">
        <v>-4592983</v>
      </c>
      <c r="H13" s="677">
        <f t="shared" si="1"/>
        <v>-5462424.0811000001</v>
      </c>
    </row>
    <row r="14" spans="1:8">
      <c r="A14" s="460">
        <v>2.1</v>
      </c>
      <c r="B14" s="429" t="s">
        <v>780</v>
      </c>
      <c r="C14" s="698"/>
      <c r="D14" s="698"/>
      <c r="E14" s="677">
        <f t="shared" si="0"/>
        <v>0</v>
      </c>
      <c r="F14" s="698"/>
      <c r="G14" s="698"/>
      <c r="H14" s="677">
        <f t="shared" si="1"/>
        <v>0</v>
      </c>
    </row>
    <row r="15" spans="1:8" ht="24.6" customHeight="1">
      <c r="A15" s="460">
        <v>2.2000000000000002</v>
      </c>
      <c r="B15" s="429" t="s">
        <v>781</v>
      </c>
      <c r="C15" s="698"/>
      <c r="D15" s="698"/>
      <c r="E15" s="677">
        <f t="shared" si="0"/>
        <v>0</v>
      </c>
      <c r="F15" s="698"/>
      <c r="G15" s="698"/>
      <c r="H15" s="677">
        <f t="shared" si="1"/>
        <v>0</v>
      </c>
    </row>
    <row r="16" spans="1:8" ht="20.85" customHeight="1">
      <c r="A16" s="460">
        <v>2.2999999999999998</v>
      </c>
      <c r="B16" s="429" t="s">
        <v>782</v>
      </c>
      <c r="C16" s="698">
        <v>-604435.38</v>
      </c>
      <c r="D16" s="698">
        <v>-4182731.26</v>
      </c>
      <c r="E16" s="677">
        <f t="shared" si="0"/>
        <v>-4787166.6399999997</v>
      </c>
      <c r="F16" s="698">
        <v>-869441.08110000007</v>
      </c>
      <c r="G16" s="698">
        <v>-4592983</v>
      </c>
      <c r="H16" s="677">
        <f t="shared" si="1"/>
        <v>-5462424.0811000001</v>
      </c>
    </row>
    <row r="17" spans="1:8">
      <c r="A17" s="460">
        <v>2.4</v>
      </c>
      <c r="B17" s="429" t="s">
        <v>783</v>
      </c>
      <c r="C17" s="698"/>
      <c r="D17" s="698">
        <v>0</v>
      </c>
      <c r="E17" s="677">
        <f t="shared" si="0"/>
        <v>0</v>
      </c>
      <c r="F17" s="698">
        <v>0</v>
      </c>
      <c r="G17" s="698">
        <v>0</v>
      </c>
      <c r="H17" s="677">
        <f t="shared" si="1"/>
        <v>0</v>
      </c>
    </row>
    <row r="18" spans="1:8">
      <c r="A18" s="460">
        <v>3</v>
      </c>
      <c r="B18" s="437" t="s">
        <v>784</v>
      </c>
      <c r="C18" s="698"/>
      <c r="D18" s="698"/>
      <c r="E18" s="677">
        <f t="shared" si="0"/>
        <v>0</v>
      </c>
      <c r="F18" s="698"/>
      <c r="G18" s="698"/>
      <c r="H18" s="677">
        <f t="shared" si="1"/>
        <v>0</v>
      </c>
    </row>
    <row r="19" spans="1:8">
      <c r="A19" s="460">
        <v>4</v>
      </c>
      <c r="B19" s="437" t="s">
        <v>785</v>
      </c>
      <c r="C19" s="698">
        <v>25731.080000000005</v>
      </c>
      <c r="D19" s="698">
        <v>0</v>
      </c>
      <c r="E19" s="677">
        <f t="shared" si="0"/>
        <v>25731.080000000005</v>
      </c>
      <c r="F19" s="698">
        <v>51883.130000000005</v>
      </c>
      <c r="G19" s="698"/>
      <c r="H19" s="677">
        <f t="shared" si="1"/>
        <v>51883.130000000005</v>
      </c>
    </row>
    <row r="20" spans="1:8">
      <c r="A20" s="460">
        <v>5</v>
      </c>
      <c r="B20" s="437" t="s">
        <v>786</v>
      </c>
      <c r="C20" s="698">
        <v>-8034.92</v>
      </c>
      <c r="D20" s="698">
        <v>0</v>
      </c>
      <c r="E20" s="677">
        <f t="shared" si="0"/>
        <v>-8034.92</v>
      </c>
      <c r="F20" s="698">
        <v>-20605.29</v>
      </c>
      <c r="G20" s="698"/>
      <c r="H20" s="677">
        <f t="shared" si="1"/>
        <v>-20605.29</v>
      </c>
    </row>
    <row r="21" spans="1:8" ht="38.85" customHeight="1">
      <c r="A21" s="460">
        <v>6</v>
      </c>
      <c r="B21" s="437" t="s">
        <v>787</v>
      </c>
      <c r="C21" s="698">
        <v>0</v>
      </c>
      <c r="D21" s="698">
        <v>0</v>
      </c>
      <c r="E21" s="677">
        <f t="shared" si="0"/>
        <v>0</v>
      </c>
      <c r="F21" s="698">
        <v>0</v>
      </c>
      <c r="G21" s="698"/>
      <c r="H21" s="677">
        <f t="shared" si="1"/>
        <v>0</v>
      </c>
    </row>
    <row r="22" spans="1:8" ht="27.6" customHeight="1">
      <c r="A22" s="460">
        <v>7</v>
      </c>
      <c r="B22" s="437" t="s">
        <v>788</v>
      </c>
      <c r="C22" s="698"/>
      <c r="D22" s="698"/>
      <c r="E22" s="677">
        <f t="shared" si="0"/>
        <v>0</v>
      </c>
      <c r="F22" s="698"/>
      <c r="G22" s="698"/>
      <c r="H22" s="677">
        <f t="shared" si="1"/>
        <v>0</v>
      </c>
    </row>
    <row r="23" spans="1:8" ht="37.35" customHeight="1">
      <c r="A23" s="460">
        <v>8</v>
      </c>
      <c r="B23" s="438" t="s">
        <v>789</v>
      </c>
      <c r="C23" s="698"/>
      <c r="D23" s="698"/>
      <c r="E23" s="677">
        <f t="shared" si="0"/>
        <v>0</v>
      </c>
      <c r="F23" s="698"/>
      <c r="G23" s="698"/>
      <c r="H23" s="677">
        <f t="shared" si="1"/>
        <v>0</v>
      </c>
    </row>
    <row r="24" spans="1:8" ht="34.5" customHeight="1">
      <c r="A24" s="460">
        <v>9</v>
      </c>
      <c r="B24" s="438" t="s">
        <v>790</v>
      </c>
      <c r="C24" s="698"/>
      <c r="D24" s="698"/>
      <c r="E24" s="677">
        <f t="shared" si="0"/>
        <v>0</v>
      </c>
      <c r="F24" s="698"/>
      <c r="G24" s="698"/>
      <c r="H24" s="677">
        <f t="shared" si="1"/>
        <v>0</v>
      </c>
    </row>
    <row r="25" spans="1:8">
      <c r="A25" s="460">
        <v>10</v>
      </c>
      <c r="B25" s="437" t="s">
        <v>791</v>
      </c>
      <c r="C25" s="698">
        <v>-4836016.0130083859</v>
      </c>
      <c r="D25" s="698">
        <v>0</v>
      </c>
      <c r="E25" s="677">
        <f t="shared" si="0"/>
        <v>-4836016.0130083859</v>
      </c>
      <c r="F25" s="698">
        <v>17674209.848229241</v>
      </c>
      <c r="G25" s="698"/>
      <c r="H25" s="677">
        <f t="shared" si="1"/>
        <v>17674209.848229241</v>
      </c>
    </row>
    <row r="26" spans="1:8" ht="27" customHeight="1">
      <c r="A26" s="460">
        <v>11</v>
      </c>
      <c r="B26" s="439" t="s">
        <v>792</v>
      </c>
      <c r="C26" s="698">
        <v>2778.58</v>
      </c>
      <c r="D26" s="698">
        <v>0</v>
      </c>
      <c r="E26" s="677">
        <f t="shared" si="0"/>
        <v>2778.58</v>
      </c>
      <c r="F26" s="698">
        <v>26657.930000000022</v>
      </c>
      <c r="G26" s="698"/>
      <c r="H26" s="677">
        <f t="shared" si="1"/>
        <v>26657.930000000022</v>
      </c>
    </row>
    <row r="27" spans="1:8">
      <c r="A27" s="460">
        <v>12</v>
      </c>
      <c r="B27" s="437" t="s">
        <v>793</v>
      </c>
      <c r="C27" s="698">
        <v>7902.54</v>
      </c>
      <c r="D27" s="698">
        <v>0</v>
      </c>
      <c r="E27" s="677">
        <f t="shared" si="0"/>
        <v>7902.54</v>
      </c>
      <c r="F27" s="698">
        <v>1620809.2811</v>
      </c>
      <c r="G27" s="698"/>
      <c r="H27" s="677">
        <f t="shared" si="1"/>
        <v>1620809.2811</v>
      </c>
    </row>
    <row r="28" spans="1:8">
      <c r="A28" s="460">
        <v>13</v>
      </c>
      <c r="B28" s="440" t="s">
        <v>794</v>
      </c>
      <c r="C28" s="698">
        <v>-1899648.2099999997</v>
      </c>
      <c r="D28" s="698">
        <v>0</v>
      </c>
      <c r="E28" s="677">
        <f t="shared" si="0"/>
        <v>-1899648.2099999997</v>
      </c>
      <c r="F28" s="698">
        <v>-3368221.1199999992</v>
      </c>
      <c r="G28" s="698"/>
      <c r="H28" s="677">
        <f t="shared" si="1"/>
        <v>-3368221.1199999992</v>
      </c>
    </row>
    <row r="29" spans="1:8">
      <c r="A29" s="460">
        <v>14</v>
      </c>
      <c r="B29" s="441" t="s">
        <v>795</v>
      </c>
      <c r="C29" s="698">
        <v>-3712012</v>
      </c>
      <c r="D29" s="698">
        <v>0</v>
      </c>
      <c r="E29" s="677">
        <f t="shared" si="0"/>
        <v>-3712012</v>
      </c>
      <c r="F29" s="698">
        <v>-4770126</v>
      </c>
      <c r="G29" s="698">
        <v>0</v>
      </c>
      <c r="H29" s="677">
        <f t="shared" si="1"/>
        <v>-4770126</v>
      </c>
    </row>
    <row r="30" spans="1:8">
      <c r="A30" s="460">
        <v>14.1</v>
      </c>
      <c r="B30" s="414" t="s">
        <v>796</v>
      </c>
      <c r="C30" s="698">
        <v>-3712012</v>
      </c>
      <c r="D30" s="698">
        <v>0</v>
      </c>
      <c r="E30" s="677">
        <f t="shared" si="0"/>
        <v>-3712012</v>
      </c>
      <c r="F30" s="698">
        <v>-4770126</v>
      </c>
      <c r="G30" s="698"/>
      <c r="H30" s="677">
        <f t="shared" si="1"/>
        <v>-4770126</v>
      </c>
    </row>
    <row r="31" spans="1:8">
      <c r="A31" s="460">
        <v>14.2</v>
      </c>
      <c r="B31" s="414" t="s">
        <v>797</v>
      </c>
      <c r="C31" s="698">
        <v>0</v>
      </c>
      <c r="D31" s="698"/>
      <c r="E31" s="677">
        <f t="shared" si="0"/>
        <v>0</v>
      </c>
      <c r="F31" s="698">
        <v>0</v>
      </c>
      <c r="G31" s="698"/>
      <c r="H31" s="677">
        <f t="shared" si="1"/>
        <v>0</v>
      </c>
    </row>
    <row r="32" spans="1:8">
      <c r="A32" s="460">
        <v>15</v>
      </c>
      <c r="B32" s="442" t="s">
        <v>798</v>
      </c>
      <c r="C32" s="698">
        <v>-674421</v>
      </c>
      <c r="D32" s="698">
        <v>0</v>
      </c>
      <c r="E32" s="677">
        <f t="shared" si="0"/>
        <v>-674421</v>
      </c>
      <c r="F32" s="698">
        <v>-902069</v>
      </c>
      <c r="G32" s="698"/>
      <c r="H32" s="677">
        <f t="shared" si="1"/>
        <v>-902069</v>
      </c>
    </row>
    <row r="33" spans="1:8" ht="22.5" customHeight="1">
      <c r="A33" s="460">
        <v>16</v>
      </c>
      <c r="B33" s="410" t="s">
        <v>799</v>
      </c>
      <c r="C33" s="698"/>
      <c r="D33" s="698"/>
      <c r="E33" s="677">
        <f t="shared" si="0"/>
        <v>0</v>
      </c>
      <c r="F33" s="698"/>
      <c r="G33" s="698"/>
      <c r="H33" s="677">
        <f t="shared" si="1"/>
        <v>0</v>
      </c>
    </row>
    <row r="34" spans="1:8">
      <c r="A34" s="460">
        <v>17</v>
      </c>
      <c r="B34" s="437" t="s">
        <v>800</v>
      </c>
      <c r="C34" s="698">
        <v>-3625.3766494045121</v>
      </c>
      <c r="D34" s="698">
        <v>0</v>
      </c>
      <c r="E34" s="677">
        <f t="shared" si="0"/>
        <v>-3625.3766494045121</v>
      </c>
      <c r="F34" s="698">
        <v>-19531.62669018899</v>
      </c>
      <c r="G34" s="698">
        <v>0</v>
      </c>
      <c r="H34" s="677">
        <f t="shared" si="1"/>
        <v>-19531.62669018899</v>
      </c>
    </row>
    <row r="35" spans="1:8">
      <c r="A35" s="460">
        <v>17.100000000000001</v>
      </c>
      <c r="B35" s="443" t="s">
        <v>801</v>
      </c>
      <c r="C35" s="698">
        <v>0</v>
      </c>
      <c r="D35" s="698"/>
      <c r="E35" s="677">
        <f t="shared" si="0"/>
        <v>0</v>
      </c>
      <c r="F35" s="698">
        <v>0</v>
      </c>
      <c r="G35" s="698"/>
      <c r="H35" s="677">
        <f t="shared" si="1"/>
        <v>0</v>
      </c>
    </row>
    <row r="36" spans="1:8">
      <c r="A36" s="460">
        <v>17.2</v>
      </c>
      <c r="B36" s="414" t="s">
        <v>802</v>
      </c>
      <c r="C36" s="698">
        <v>-3625.3766494045121</v>
      </c>
      <c r="D36" s="698">
        <v>0</v>
      </c>
      <c r="E36" s="677">
        <f t="shared" si="0"/>
        <v>-3625.3766494045121</v>
      </c>
      <c r="F36" s="698">
        <v>-19531.62669018899</v>
      </c>
      <c r="G36" s="698"/>
      <c r="H36" s="677">
        <f t="shared" si="1"/>
        <v>-19531.62669018899</v>
      </c>
    </row>
    <row r="37" spans="1:8" ht="41.85" customHeight="1">
      <c r="A37" s="460">
        <v>18</v>
      </c>
      <c r="B37" s="444" t="s">
        <v>803</v>
      </c>
      <c r="C37" s="698">
        <v>-1506366.3328186166</v>
      </c>
      <c r="D37" s="698">
        <v>0</v>
      </c>
      <c r="E37" s="677">
        <f t="shared" si="0"/>
        <v>-1506366.3328186166</v>
      </c>
      <c r="F37" s="698">
        <v>-1635355.6051195792</v>
      </c>
      <c r="G37" s="698">
        <v>0</v>
      </c>
      <c r="H37" s="677">
        <f t="shared" si="1"/>
        <v>-1635355.6051195792</v>
      </c>
    </row>
    <row r="38" spans="1:8" ht="21">
      <c r="A38" s="460">
        <v>18.100000000000001</v>
      </c>
      <c r="B38" s="429" t="s">
        <v>804</v>
      </c>
      <c r="C38" s="698"/>
      <c r="D38" s="698"/>
      <c r="E38" s="677">
        <f t="shared" si="0"/>
        <v>0</v>
      </c>
      <c r="F38" s="698"/>
      <c r="G38" s="698"/>
      <c r="H38" s="677">
        <f t="shared" si="1"/>
        <v>0</v>
      </c>
    </row>
    <row r="39" spans="1:8">
      <c r="A39" s="460">
        <v>18.2</v>
      </c>
      <c r="B39" s="429" t="s">
        <v>805</v>
      </c>
      <c r="C39" s="698">
        <v>-1506366.3328186166</v>
      </c>
      <c r="D39" s="698">
        <v>0</v>
      </c>
      <c r="E39" s="677">
        <f t="shared" si="0"/>
        <v>-1506366.3328186166</v>
      </c>
      <c r="F39" s="698">
        <v>-1635355.6051195792</v>
      </c>
      <c r="G39" s="698"/>
      <c r="H39" s="677">
        <f t="shared" si="1"/>
        <v>-1635355.6051195792</v>
      </c>
    </row>
    <row r="40" spans="1:8" ht="24.6" customHeight="1">
      <c r="A40" s="460">
        <v>19</v>
      </c>
      <c r="B40" s="444" t="s">
        <v>806</v>
      </c>
      <c r="C40" s="698"/>
      <c r="D40" s="698"/>
      <c r="E40" s="677">
        <f t="shared" si="0"/>
        <v>0</v>
      </c>
      <c r="F40" s="698"/>
      <c r="G40" s="698"/>
      <c r="H40" s="677">
        <f t="shared" si="1"/>
        <v>0</v>
      </c>
    </row>
    <row r="41" spans="1:8" ht="25.35" customHeight="1">
      <c r="A41" s="460">
        <v>20</v>
      </c>
      <c r="B41" s="444" t="s">
        <v>807</v>
      </c>
      <c r="C41" s="698"/>
      <c r="D41" s="698"/>
      <c r="E41" s="677">
        <f t="shared" si="0"/>
        <v>0</v>
      </c>
      <c r="F41" s="698"/>
      <c r="G41" s="698"/>
      <c r="H41" s="677">
        <f t="shared" si="1"/>
        <v>0</v>
      </c>
    </row>
    <row r="42" spans="1:8" ht="33" customHeight="1">
      <c r="A42" s="460">
        <v>21</v>
      </c>
      <c r="B42" s="445" t="s">
        <v>808</v>
      </c>
      <c r="C42" s="698"/>
      <c r="D42" s="698"/>
      <c r="E42" s="677">
        <f t="shared" si="0"/>
        <v>0</v>
      </c>
      <c r="F42" s="698"/>
      <c r="G42" s="698"/>
      <c r="H42" s="677">
        <f t="shared" si="1"/>
        <v>0</v>
      </c>
    </row>
    <row r="43" spans="1:8">
      <c r="A43" s="460">
        <v>22</v>
      </c>
      <c r="B43" s="446" t="s">
        <v>809</v>
      </c>
      <c r="C43" s="698">
        <v>-8013298.857926948</v>
      </c>
      <c r="D43" s="698">
        <v>-662498.36433057766</v>
      </c>
      <c r="E43" s="677">
        <f t="shared" si="0"/>
        <v>-8675797.2222575247</v>
      </c>
      <c r="F43" s="698">
        <v>16976943.062939476</v>
      </c>
      <c r="G43" s="698">
        <v>-1962346.0000000005</v>
      </c>
      <c r="H43" s="677">
        <f t="shared" si="1"/>
        <v>15014597.062939476</v>
      </c>
    </row>
    <row r="44" spans="1:8">
      <c r="A44" s="460">
        <v>23</v>
      </c>
      <c r="B44" s="446" t="s">
        <v>810</v>
      </c>
      <c r="C44" s="698">
        <v>-68425</v>
      </c>
      <c r="D44" s="698">
        <v>0</v>
      </c>
      <c r="E44" s="677">
        <f t="shared" si="0"/>
        <v>-68425</v>
      </c>
      <c r="F44" s="698">
        <v>-5763754.3167791935</v>
      </c>
      <c r="G44" s="698"/>
      <c r="H44" s="677">
        <f t="shared" si="1"/>
        <v>-5763754.3167791935</v>
      </c>
    </row>
    <row r="45" spans="1:8">
      <c r="A45" s="460">
        <v>24</v>
      </c>
      <c r="B45" s="446" t="s">
        <v>811</v>
      </c>
      <c r="C45" s="698">
        <v>-7944873.857926948</v>
      </c>
      <c r="D45" s="698">
        <v>-662498.36433057766</v>
      </c>
      <c r="E45" s="677">
        <f t="shared" si="0"/>
        <v>-8607372.2222575247</v>
      </c>
      <c r="F45" s="698">
        <v>22740697.379718669</v>
      </c>
      <c r="G45" s="698">
        <v>-1962346.0000000005</v>
      </c>
      <c r="H45" s="677">
        <f t="shared" si="1"/>
        <v>20778351.379718669</v>
      </c>
    </row>
    <row r="46" spans="1:8">
      <c r="C46" s="798"/>
      <c r="D46" s="798"/>
      <c r="E46" s="798"/>
      <c r="F46" s="798"/>
      <c r="G46" s="798"/>
      <c r="H46" s="798"/>
    </row>
    <row r="47" spans="1:8">
      <c r="C47" s="798"/>
      <c r="D47" s="798"/>
      <c r="E47" s="798"/>
      <c r="F47" s="798"/>
      <c r="G47" s="798"/>
      <c r="H47" s="798"/>
    </row>
    <row r="48" spans="1:8">
      <c r="C48" s="798"/>
      <c r="D48" s="798"/>
      <c r="E48" s="798"/>
      <c r="F48" s="798"/>
      <c r="G48" s="798"/>
      <c r="H48" s="798"/>
    </row>
    <row r="49" spans="3:8">
      <c r="C49" s="798"/>
      <c r="D49" s="798"/>
      <c r="E49" s="798"/>
      <c r="F49" s="798"/>
      <c r="G49" s="798"/>
      <c r="H49" s="798"/>
    </row>
    <row r="50" spans="3:8">
      <c r="C50" s="798"/>
      <c r="D50" s="798"/>
      <c r="E50" s="798"/>
      <c r="F50" s="798"/>
      <c r="G50" s="798"/>
      <c r="H50" s="798"/>
    </row>
    <row r="51" spans="3:8">
      <c r="C51" s="798"/>
      <c r="D51" s="798"/>
      <c r="E51" s="798"/>
      <c r="F51" s="798"/>
      <c r="G51" s="798"/>
      <c r="H51" s="798"/>
    </row>
    <row r="52" spans="3:8">
      <c r="C52" s="798"/>
      <c r="D52" s="798"/>
      <c r="E52" s="798"/>
      <c r="F52" s="798"/>
      <c r="G52" s="798"/>
      <c r="H52" s="798"/>
    </row>
    <row r="53" spans="3:8">
      <c r="C53" s="798"/>
      <c r="D53" s="798"/>
      <c r="E53" s="798"/>
      <c r="F53" s="798"/>
      <c r="G53" s="798"/>
      <c r="H53" s="798"/>
    </row>
    <row r="54" spans="3:8">
      <c r="C54" s="798"/>
      <c r="D54" s="798"/>
      <c r="E54" s="798"/>
      <c r="F54" s="798"/>
      <c r="G54" s="798"/>
      <c r="H54" s="798"/>
    </row>
    <row r="55" spans="3:8">
      <c r="C55" s="798"/>
      <c r="D55" s="798"/>
      <c r="E55" s="798"/>
      <c r="F55" s="798"/>
      <c r="G55" s="798"/>
      <c r="H55" s="798"/>
    </row>
    <row r="56" spans="3:8">
      <c r="C56" s="798"/>
      <c r="D56" s="798"/>
      <c r="E56" s="798"/>
      <c r="F56" s="798"/>
      <c r="G56" s="798"/>
      <c r="H56" s="798"/>
    </row>
    <row r="57" spans="3:8">
      <c r="C57" s="798"/>
      <c r="D57" s="798"/>
      <c r="E57" s="798"/>
      <c r="F57" s="798"/>
      <c r="G57" s="798"/>
      <c r="H57" s="798"/>
    </row>
    <row r="58" spans="3:8">
      <c r="C58" s="798"/>
      <c r="D58" s="798"/>
      <c r="E58" s="798"/>
      <c r="F58" s="798"/>
      <c r="G58" s="798"/>
      <c r="H58" s="798"/>
    </row>
    <row r="59" spans="3:8">
      <c r="C59" s="798"/>
      <c r="D59" s="798"/>
      <c r="E59" s="798"/>
      <c r="F59" s="798"/>
      <c r="G59" s="798"/>
      <c r="H59" s="798"/>
    </row>
    <row r="60" spans="3:8">
      <c r="C60" s="798"/>
      <c r="D60" s="798"/>
      <c r="E60" s="798"/>
      <c r="F60" s="798"/>
      <c r="G60" s="798"/>
      <c r="H60" s="798"/>
    </row>
    <row r="61" spans="3:8">
      <c r="C61" s="798"/>
      <c r="D61" s="798"/>
      <c r="E61" s="798"/>
      <c r="F61" s="798"/>
      <c r="G61" s="798"/>
      <c r="H61" s="798"/>
    </row>
    <row r="62" spans="3:8">
      <c r="C62" s="798"/>
      <c r="D62" s="798"/>
      <c r="E62" s="798"/>
      <c r="F62" s="798"/>
      <c r="G62" s="798"/>
      <c r="H62" s="798"/>
    </row>
    <row r="63" spans="3:8">
      <c r="C63" s="798"/>
      <c r="D63" s="798"/>
      <c r="E63" s="798"/>
      <c r="F63" s="798"/>
      <c r="G63" s="798"/>
      <c r="H63" s="798"/>
    </row>
    <row r="64" spans="3:8">
      <c r="C64" s="798"/>
      <c r="D64" s="798"/>
      <c r="E64" s="798"/>
      <c r="F64" s="798"/>
      <c r="G64" s="798"/>
      <c r="H64" s="798"/>
    </row>
    <row r="65" spans="3:8">
      <c r="C65" s="798"/>
      <c r="D65" s="798"/>
      <c r="E65" s="798"/>
      <c r="F65" s="798"/>
      <c r="G65" s="798"/>
      <c r="H65" s="798"/>
    </row>
    <row r="66" spans="3:8">
      <c r="C66" s="798"/>
      <c r="D66" s="798"/>
      <c r="E66" s="798"/>
      <c r="F66" s="798"/>
      <c r="G66" s="798"/>
      <c r="H66" s="798"/>
    </row>
    <row r="67" spans="3:8">
      <c r="C67" s="798"/>
      <c r="D67" s="798"/>
      <c r="E67" s="798"/>
      <c r="F67" s="798"/>
      <c r="G67" s="798"/>
      <c r="H67" s="798"/>
    </row>
    <row r="68" spans="3:8">
      <c r="C68" s="798"/>
      <c r="D68" s="798"/>
      <c r="E68" s="798"/>
      <c r="F68" s="798"/>
      <c r="G68" s="798"/>
      <c r="H68" s="798"/>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topLeftCell="A138" zoomScale="80" zoomScaleNormal="80" workbookViewId="0">
      <selection activeCell="C6" sqref="C6:H150"/>
    </sheetView>
  </sheetViews>
  <sheetFormatPr defaultRowHeight="15"/>
  <cols>
    <col min="1" max="1" width="8.7109375" style="457"/>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8" t="str">
        <f>Info!C2</f>
        <v>JSC "VTB Bank (Georgia)"</v>
      </c>
      <c r="C1" s="16"/>
      <c r="D1" s="229"/>
      <c r="E1" s="229"/>
      <c r="F1" s="229"/>
      <c r="G1" s="229"/>
    </row>
    <row r="2" spans="1:8" ht="15.75">
      <c r="A2" s="17" t="s">
        <v>109</v>
      </c>
      <c r="B2" s="339">
        <f>Info!D2</f>
        <v>45473</v>
      </c>
      <c r="C2" s="29"/>
      <c r="D2" s="18"/>
      <c r="E2" s="18"/>
      <c r="F2" s="18"/>
      <c r="G2" s="18"/>
      <c r="H2" s="1"/>
    </row>
    <row r="3" spans="1:8" ht="16.5" thickBot="1">
      <c r="A3" s="17"/>
      <c r="B3" s="16"/>
      <c r="C3" s="29"/>
      <c r="D3" s="18"/>
      <c r="E3" s="18"/>
      <c r="F3" s="18"/>
      <c r="G3" s="18"/>
      <c r="H3" s="1"/>
    </row>
    <row r="4" spans="1:8" ht="15.75">
      <c r="A4" s="811" t="s">
        <v>25</v>
      </c>
      <c r="B4" s="823" t="s">
        <v>151</v>
      </c>
      <c r="C4" s="824" t="s">
        <v>114</v>
      </c>
      <c r="D4" s="824"/>
      <c r="E4" s="824"/>
      <c r="F4" s="824" t="s">
        <v>115</v>
      </c>
      <c r="G4" s="824"/>
      <c r="H4" s="825"/>
    </row>
    <row r="5" spans="1:8">
      <c r="A5" s="811"/>
      <c r="B5" s="823"/>
      <c r="C5" s="433" t="s">
        <v>26</v>
      </c>
      <c r="D5" s="433" t="s">
        <v>88</v>
      </c>
      <c r="E5" s="433" t="s">
        <v>66</v>
      </c>
      <c r="F5" s="433" t="s">
        <v>26</v>
      </c>
      <c r="G5" s="433" t="s">
        <v>88</v>
      </c>
      <c r="H5" s="447" t="s">
        <v>66</v>
      </c>
    </row>
    <row r="6" spans="1:8" ht="15.75">
      <c r="A6" s="448">
        <v>1</v>
      </c>
      <c r="B6" s="449" t="s">
        <v>812</v>
      </c>
      <c r="C6" s="727"/>
      <c r="D6" s="727"/>
      <c r="E6" s="728">
        <f t="shared" ref="E6:E43" si="0">C6+D6</f>
        <v>0</v>
      </c>
      <c r="F6" s="727"/>
      <c r="G6" s="727"/>
      <c r="H6" s="729">
        <f t="shared" ref="H6:H43" si="1">F6+G6</f>
        <v>0</v>
      </c>
    </row>
    <row r="7" spans="1:8" ht="28.35" customHeight="1">
      <c r="A7" s="448">
        <v>2</v>
      </c>
      <c r="B7" s="449" t="s">
        <v>177</v>
      </c>
      <c r="C7" s="727"/>
      <c r="D7" s="727"/>
      <c r="E7" s="728">
        <f t="shared" si="0"/>
        <v>0</v>
      </c>
      <c r="F7" s="727"/>
      <c r="G7" s="727"/>
      <c r="H7" s="729">
        <f t="shared" si="1"/>
        <v>0</v>
      </c>
    </row>
    <row r="8" spans="1:8" ht="15.75">
      <c r="A8" s="448">
        <v>3</v>
      </c>
      <c r="B8" s="449" t="s">
        <v>179</v>
      </c>
      <c r="C8" s="727">
        <f>C9+C10</f>
        <v>57867236</v>
      </c>
      <c r="D8" s="727">
        <f>D9+D10</f>
        <v>3302274789</v>
      </c>
      <c r="E8" s="728">
        <f t="shared" si="0"/>
        <v>3360142025</v>
      </c>
      <c r="F8" s="727">
        <f>F9+F10</f>
        <v>58446021</v>
      </c>
      <c r="G8" s="727">
        <f>G9+G10</f>
        <v>3718822253</v>
      </c>
      <c r="H8" s="729">
        <f t="shared" si="1"/>
        <v>3777268274</v>
      </c>
    </row>
    <row r="9" spans="1:8" ht="15.75">
      <c r="A9" s="448">
        <v>3.1</v>
      </c>
      <c r="B9" s="450" t="s">
        <v>813</v>
      </c>
      <c r="C9" s="727">
        <v>57867236</v>
      </c>
      <c r="D9" s="727">
        <v>3294498314.967</v>
      </c>
      <c r="E9" s="728">
        <f t="shared" si="0"/>
        <v>3352365550.967</v>
      </c>
      <c r="F9" s="727">
        <v>58446021</v>
      </c>
      <c r="G9" s="727">
        <v>3686382222.5110002</v>
      </c>
      <c r="H9" s="729">
        <f t="shared" si="1"/>
        <v>3744828243.5110002</v>
      </c>
    </row>
    <row r="10" spans="1:8" ht="15.75">
      <c r="A10" s="448">
        <v>3.2</v>
      </c>
      <c r="B10" s="450" t="s">
        <v>814</v>
      </c>
      <c r="C10" s="727">
        <v>0</v>
      </c>
      <c r="D10" s="727">
        <v>7776474.0329999998</v>
      </c>
      <c r="E10" s="728">
        <f t="shared" si="0"/>
        <v>7776474.0329999998</v>
      </c>
      <c r="F10" s="727">
        <v>0</v>
      </c>
      <c r="G10" s="727">
        <v>32440030.489</v>
      </c>
      <c r="H10" s="729">
        <f t="shared" si="1"/>
        <v>32440030.489</v>
      </c>
    </row>
    <row r="11" spans="1:8" ht="25.5">
      <c r="A11" s="448">
        <v>4</v>
      </c>
      <c r="B11" s="449" t="s">
        <v>178</v>
      </c>
      <c r="C11" s="727">
        <f>C12+C13</f>
        <v>0</v>
      </c>
      <c r="D11" s="727">
        <f>D12+D13</f>
        <v>0</v>
      </c>
      <c r="E11" s="728">
        <f t="shared" si="0"/>
        <v>0</v>
      </c>
      <c r="F11" s="727">
        <f>F12+F13</f>
        <v>0</v>
      </c>
      <c r="G11" s="727">
        <f>G12+G13</f>
        <v>0</v>
      </c>
      <c r="H11" s="729">
        <f t="shared" si="1"/>
        <v>0</v>
      </c>
    </row>
    <row r="12" spans="1:8" ht="15.75">
      <c r="A12" s="448">
        <v>4.0999999999999996</v>
      </c>
      <c r="B12" s="450" t="s">
        <v>815</v>
      </c>
      <c r="C12" s="727"/>
      <c r="D12" s="727"/>
      <c r="E12" s="728">
        <f t="shared" si="0"/>
        <v>0</v>
      </c>
      <c r="F12" s="727"/>
      <c r="G12" s="727"/>
      <c r="H12" s="729">
        <f t="shared" si="1"/>
        <v>0</v>
      </c>
    </row>
    <row r="13" spans="1:8" ht="15.75">
      <c r="A13" s="448">
        <v>4.2</v>
      </c>
      <c r="B13" s="450" t="s">
        <v>816</v>
      </c>
      <c r="C13" s="727"/>
      <c r="D13" s="727"/>
      <c r="E13" s="728">
        <f t="shared" si="0"/>
        <v>0</v>
      </c>
      <c r="F13" s="727"/>
      <c r="G13" s="727"/>
      <c r="H13" s="729">
        <f t="shared" si="1"/>
        <v>0</v>
      </c>
    </row>
    <row r="14" spans="1:8" ht="15.75">
      <c r="A14" s="448">
        <v>5</v>
      </c>
      <c r="B14" s="451" t="s">
        <v>817</v>
      </c>
      <c r="C14" s="727">
        <f>C15+C16+C17+C23+C24+C25+C26</f>
        <v>26307780</v>
      </c>
      <c r="D14" s="727">
        <f>D15+D16+D17+D23+D24+D25+D26</f>
        <v>646796715.43860006</v>
      </c>
      <c r="E14" s="728">
        <f t="shared" si="0"/>
        <v>673104495.43860006</v>
      </c>
      <c r="F14" s="727">
        <f>F15+F16+F17+F23+F24+F25+F26</f>
        <v>26842144.390000001</v>
      </c>
      <c r="G14" s="727">
        <f>G15+G16+G17+G23+G24+G25+G26</f>
        <v>1672466815.8138001</v>
      </c>
      <c r="H14" s="729">
        <f t="shared" si="1"/>
        <v>1699308960.2038002</v>
      </c>
    </row>
    <row r="15" spans="1:8" ht="15.75">
      <c r="A15" s="448">
        <v>5.0999999999999996</v>
      </c>
      <c r="B15" s="452" t="s">
        <v>818</v>
      </c>
      <c r="C15" s="727">
        <v>2250000</v>
      </c>
      <c r="D15" s="727">
        <v>636461.65659999999</v>
      </c>
      <c r="E15" s="728">
        <f t="shared" si="0"/>
        <v>2886461.6565999999</v>
      </c>
      <c r="F15" s="727">
        <v>2649368.39</v>
      </c>
      <c r="G15" s="727">
        <v>811744.65780000004</v>
      </c>
      <c r="H15" s="729">
        <f t="shared" si="1"/>
        <v>3461113.0478000003</v>
      </c>
    </row>
    <row r="16" spans="1:8" ht="15.75">
      <c r="A16" s="448">
        <v>5.2</v>
      </c>
      <c r="B16" s="452" t="s">
        <v>819</v>
      </c>
      <c r="C16" s="727">
        <v>0</v>
      </c>
      <c r="D16" s="727">
        <v>75163.234100000001</v>
      </c>
      <c r="E16" s="728">
        <f t="shared" si="0"/>
        <v>75163.234100000001</v>
      </c>
      <c r="F16" s="727">
        <v>0</v>
      </c>
      <c r="G16" s="727">
        <v>70017.0092</v>
      </c>
      <c r="H16" s="729">
        <f t="shared" si="1"/>
        <v>70017.0092</v>
      </c>
    </row>
    <row r="17" spans="1:8" ht="15.75">
      <c r="A17" s="448">
        <v>5.3</v>
      </c>
      <c r="B17" s="452" t="s">
        <v>820</v>
      </c>
      <c r="C17" s="727">
        <v>23225400</v>
      </c>
      <c r="D17" s="727">
        <v>420317852.43840003</v>
      </c>
      <c r="E17" s="728">
        <f t="shared" si="0"/>
        <v>443543252.43840003</v>
      </c>
      <c r="F17" s="727">
        <v>23253400</v>
      </c>
      <c r="G17" s="727">
        <v>584558827.82840002</v>
      </c>
      <c r="H17" s="729">
        <f t="shared" si="1"/>
        <v>607812227.82840002</v>
      </c>
    </row>
    <row r="18" spans="1:8" ht="15.75">
      <c r="A18" s="448" t="s">
        <v>180</v>
      </c>
      <c r="B18" s="453" t="s">
        <v>821</v>
      </c>
      <c r="C18" s="727">
        <v>138000</v>
      </c>
      <c r="D18" s="727">
        <v>35127655.049999997</v>
      </c>
      <c r="E18" s="728">
        <f t="shared" si="0"/>
        <v>35265655.049999997</v>
      </c>
      <c r="F18" s="727">
        <v>166000</v>
      </c>
      <c r="G18" s="727">
        <v>43024307.784000002</v>
      </c>
      <c r="H18" s="729">
        <f t="shared" si="1"/>
        <v>43190307.784000002</v>
      </c>
    </row>
    <row r="19" spans="1:8" ht="15.75">
      <c r="A19" s="448" t="s">
        <v>181</v>
      </c>
      <c r="B19" s="454" t="s">
        <v>822</v>
      </c>
      <c r="C19" s="727">
        <v>23074400</v>
      </c>
      <c r="D19" s="727">
        <v>282322597.70999998</v>
      </c>
      <c r="E19" s="728">
        <f t="shared" si="0"/>
        <v>305396997.70999998</v>
      </c>
      <c r="F19" s="727">
        <v>23074400</v>
      </c>
      <c r="G19" s="727">
        <v>420406852.82090002</v>
      </c>
      <c r="H19" s="729">
        <f t="shared" si="1"/>
        <v>443481252.82090002</v>
      </c>
    </row>
    <row r="20" spans="1:8" ht="15.75">
      <c r="A20" s="448" t="s">
        <v>182</v>
      </c>
      <c r="B20" s="454" t="s">
        <v>823</v>
      </c>
      <c r="C20" s="727">
        <v>0</v>
      </c>
      <c r="D20" s="727">
        <v>18569140.800000001</v>
      </c>
      <c r="E20" s="728">
        <f t="shared" si="0"/>
        <v>18569140.800000001</v>
      </c>
      <c r="F20" s="727">
        <v>0</v>
      </c>
      <c r="G20" s="727">
        <v>17297761.600000001</v>
      </c>
      <c r="H20" s="729">
        <f t="shared" si="1"/>
        <v>17297761.600000001</v>
      </c>
    </row>
    <row r="21" spans="1:8" ht="15.75">
      <c r="A21" s="448" t="s">
        <v>183</v>
      </c>
      <c r="B21" s="454" t="s">
        <v>824</v>
      </c>
      <c r="C21" s="727">
        <v>13000</v>
      </c>
      <c r="D21" s="727">
        <v>41150772.808200002</v>
      </c>
      <c r="E21" s="728">
        <f t="shared" si="0"/>
        <v>41163772.808200002</v>
      </c>
      <c r="F21" s="727">
        <v>13000</v>
      </c>
      <c r="G21" s="727">
        <v>46129248.138099998</v>
      </c>
      <c r="H21" s="729">
        <f t="shared" si="1"/>
        <v>46142248.138099998</v>
      </c>
    </row>
    <row r="22" spans="1:8" ht="15.75">
      <c r="A22" s="448" t="s">
        <v>184</v>
      </c>
      <c r="B22" s="454" t="s">
        <v>541</v>
      </c>
      <c r="C22" s="727">
        <v>0</v>
      </c>
      <c r="D22" s="727">
        <v>43147686.070200004</v>
      </c>
      <c r="E22" s="728">
        <f t="shared" si="0"/>
        <v>43147686.070200004</v>
      </c>
      <c r="F22" s="727">
        <v>0</v>
      </c>
      <c r="G22" s="727">
        <v>57700657.485399999</v>
      </c>
      <c r="H22" s="729">
        <f t="shared" si="1"/>
        <v>57700657.485399999</v>
      </c>
    </row>
    <row r="23" spans="1:8" ht="15.75">
      <c r="A23" s="448">
        <v>5.4</v>
      </c>
      <c r="B23" s="452" t="s">
        <v>825</v>
      </c>
      <c r="C23" s="727">
        <v>804767</v>
      </c>
      <c r="D23" s="727">
        <v>161294058.72940001</v>
      </c>
      <c r="E23" s="728">
        <f t="shared" si="0"/>
        <v>162098825.72940001</v>
      </c>
      <c r="F23" s="727">
        <v>911763</v>
      </c>
      <c r="G23" s="727">
        <v>157105642.3768</v>
      </c>
      <c r="H23" s="729">
        <f t="shared" si="1"/>
        <v>158017405.3768</v>
      </c>
    </row>
    <row r="24" spans="1:8" ht="15.75">
      <c r="A24" s="448">
        <v>5.5</v>
      </c>
      <c r="B24" s="452" t="s">
        <v>826</v>
      </c>
      <c r="C24" s="727">
        <v>5</v>
      </c>
      <c r="D24" s="727">
        <v>56202002.810099997</v>
      </c>
      <c r="E24" s="728">
        <f t="shared" si="0"/>
        <v>56202007.810099997</v>
      </c>
      <c r="F24" s="727">
        <v>5</v>
      </c>
      <c r="G24" s="727">
        <v>384801902.61769998</v>
      </c>
      <c r="H24" s="729">
        <f t="shared" si="1"/>
        <v>384801907.61769998</v>
      </c>
    </row>
    <row r="25" spans="1:8" ht="15.75">
      <c r="A25" s="448">
        <v>5.6</v>
      </c>
      <c r="B25" s="452" t="s">
        <v>827</v>
      </c>
      <c r="C25" s="727">
        <v>0</v>
      </c>
      <c r="D25" s="727">
        <v>7868280</v>
      </c>
      <c r="E25" s="728">
        <f t="shared" si="0"/>
        <v>7868280</v>
      </c>
      <c r="F25" s="727">
        <v>0</v>
      </c>
      <c r="G25" s="727">
        <v>544743370</v>
      </c>
      <c r="H25" s="729">
        <f t="shared" si="1"/>
        <v>544743370</v>
      </c>
    </row>
    <row r="26" spans="1:8" ht="15.75">
      <c r="A26" s="448">
        <v>5.7</v>
      </c>
      <c r="B26" s="452" t="s">
        <v>541</v>
      </c>
      <c r="C26" s="727">
        <v>27608</v>
      </c>
      <c r="D26" s="727">
        <v>402896.57</v>
      </c>
      <c r="E26" s="728">
        <f t="shared" si="0"/>
        <v>430504.57</v>
      </c>
      <c r="F26" s="727">
        <v>27608</v>
      </c>
      <c r="G26" s="727">
        <v>375311.32390000002</v>
      </c>
      <c r="H26" s="729">
        <f t="shared" si="1"/>
        <v>402919.32390000002</v>
      </c>
    </row>
    <row r="27" spans="1:8" ht="15.75">
      <c r="A27" s="448">
        <v>6</v>
      </c>
      <c r="B27" s="451" t="s">
        <v>828</v>
      </c>
      <c r="C27" s="727"/>
      <c r="D27" s="727"/>
      <c r="E27" s="728">
        <f t="shared" si="0"/>
        <v>0</v>
      </c>
      <c r="F27" s="727">
        <v>14990661</v>
      </c>
      <c r="G27" s="727">
        <v>6586553</v>
      </c>
      <c r="H27" s="729">
        <f t="shared" si="1"/>
        <v>21577214</v>
      </c>
    </row>
    <row r="28" spans="1:8" ht="15.75">
      <c r="A28" s="448">
        <v>7</v>
      </c>
      <c r="B28" s="451" t="s">
        <v>829</v>
      </c>
      <c r="C28" s="727">
        <v>2220000</v>
      </c>
      <c r="D28" s="727">
        <v>16267</v>
      </c>
      <c r="E28" s="728">
        <f t="shared" si="0"/>
        <v>2236267</v>
      </c>
      <c r="F28" s="727">
        <v>2996149</v>
      </c>
      <c r="G28" s="727">
        <v>95947</v>
      </c>
      <c r="H28" s="729">
        <f t="shared" si="1"/>
        <v>3092096</v>
      </c>
    </row>
    <row r="29" spans="1:8" ht="15.75">
      <c r="A29" s="448">
        <v>8</v>
      </c>
      <c r="B29" s="451" t="s">
        <v>830</v>
      </c>
      <c r="C29" s="727"/>
      <c r="D29" s="727"/>
      <c r="E29" s="728">
        <f t="shared" si="0"/>
        <v>0</v>
      </c>
      <c r="F29" s="727"/>
      <c r="G29" s="727"/>
      <c r="H29" s="729">
        <f t="shared" si="1"/>
        <v>0</v>
      </c>
    </row>
    <row r="30" spans="1:8" ht="15.75">
      <c r="A30" s="448">
        <v>9</v>
      </c>
      <c r="B30" s="449" t="s">
        <v>185</v>
      </c>
      <c r="C30" s="727">
        <f>C31+C32+C33+C34+C35+C36+C37</f>
        <v>0</v>
      </c>
      <c r="D30" s="727">
        <f>D31+D32+D33+D34+D35+D36+D37</f>
        <v>0</v>
      </c>
      <c r="E30" s="728">
        <f t="shared" si="0"/>
        <v>0</v>
      </c>
      <c r="F30" s="727">
        <f>F31+F32+F33+F34+F35+F36+F37</f>
        <v>0</v>
      </c>
      <c r="G30" s="727">
        <f>G31+G32+G33+G34+G35+G36+G37</f>
        <v>0</v>
      </c>
      <c r="H30" s="729">
        <f t="shared" si="1"/>
        <v>0</v>
      </c>
    </row>
    <row r="31" spans="1:8" ht="25.5">
      <c r="A31" s="448">
        <v>9.1</v>
      </c>
      <c r="B31" s="450" t="s">
        <v>831</v>
      </c>
      <c r="C31" s="727"/>
      <c r="D31" s="727"/>
      <c r="E31" s="728">
        <f t="shared" si="0"/>
        <v>0</v>
      </c>
      <c r="F31" s="727"/>
      <c r="G31" s="727"/>
      <c r="H31" s="729">
        <f t="shared" si="1"/>
        <v>0</v>
      </c>
    </row>
    <row r="32" spans="1:8" ht="25.5">
      <c r="A32" s="448">
        <v>9.1999999999999993</v>
      </c>
      <c r="B32" s="450" t="s">
        <v>832</v>
      </c>
      <c r="C32" s="727"/>
      <c r="D32" s="727"/>
      <c r="E32" s="728">
        <f t="shared" si="0"/>
        <v>0</v>
      </c>
      <c r="F32" s="727"/>
      <c r="G32" s="727"/>
      <c r="H32" s="729">
        <f t="shared" si="1"/>
        <v>0</v>
      </c>
    </row>
    <row r="33" spans="1:8" ht="25.5">
      <c r="A33" s="448">
        <v>9.3000000000000007</v>
      </c>
      <c r="B33" s="450" t="s">
        <v>833</v>
      </c>
      <c r="C33" s="727"/>
      <c r="D33" s="727"/>
      <c r="E33" s="728">
        <f t="shared" si="0"/>
        <v>0</v>
      </c>
      <c r="F33" s="727"/>
      <c r="G33" s="727"/>
      <c r="H33" s="729">
        <f t="shared" si="1"/>
        <v>0</v>
      </c>
    </row>
    <row r="34" spans="1:8" ht="15.75">
      <c r="A34" s="448">
        <v>9.4</v>
      </c>
      <c r="B34" s="450" t="s">
        <v>834</v>
      </c>
      <c r="C34" s="727"/>
      <c r="D34" s="727"/>
      <c r="E34" s="728">
        <f t="shared" si="0"/>
        <v>0</v>
      </c>
      <c r="F34" s="727"/>
      <c r="G34" s="727"/>
      <c r="H34" s="729">
        <f t="shared" si="1"/>
        <v>0</v>
      </c>
    </row>
    <row r="35" spans="1:8" ht="15.75">
      <c r="A35" s="448">
        <v>9.5</v>
      </c>
      <c r="B35" s="450" t="s">
        <v>835</v>
      </c>
      <c r="C35" s="727"/>
      <c r="D35" s="727"/>
      <c r="E35" s="728">
        <f t="shared" si="0"/>
        <v>0</v>
      </c>
      <c r="F35" s="727"/>
      <c r="G35" s="727"/>
      <c r="H35" s="729">
        <f t="shared" si="1"/>
        <v>0</v>
      </c>
    </row>
    <row r="36" spans="1:8" ht="25.5">
      <c r="A36" s="448">
        <v>9.6</v>
      </c>
      <c r="B36" s="450" t="s">
        <v>836</v>
      </c>
      <c r="C36" s="727"/>
      <c r="D36" s="727"/>
      <c r="E36" s="728">
        <f t="shared" si="0"/>
        <v>0</v>
      </c>
      <c r="F36" s="727"/>
      <c r="G36" s="727"/>
      <c r="H36" s="729">
        <f t="shared" si="1"/>
        <v>0</v>
      </c>
    </row>
    <row r="37" spans="1:8" ht="25.5">
      <c r="A37" s="448">
        <v>9.6999999999999993</v>
      </c>
      <c r="B37" s="450" t="s">
        <v>837</v>
      </c>
      <c r="C37" s="727"/>
      <c r="D37" s="727"/>
      <c r="E37" s="728">
        <f t="shared" si="0"/>
        <v>0</v>
      </c>
      <c r="F37" s="727"/>
      <c r="G37" s="727"/>
      <c r="H37" s="729">
        <f t="shared" si="1"/>
        <v>0</v>
      </c>
    </row>
    <row r="38" spans="1:8" ht="15.75">
      <c r="A38" s="448">
        <v>10</v>
      </c>
      <c r="B38" s="455" t="s">
        <v>838</v>
      </c>
      <c r="C38" s="727">
        <v>20459437</v>
      </c>
      <c r="D38" s="727">
        <v>10769571</v>
      </c>
      <c r="E38" s="728">
        <f t="shared" si="0"/>
        <v>31229008</v>
      </c>
      <c r="F38" s="727">
        <v>16842358.550000001</v>
      </c>
      <c r="G38" s="727">
        <v>6299227.7099999972</v>
      </c>
      <c r="H38" s="729">
        <f t="shared" si="1"/>
        <v>23141586.259999998</v>
      </c>
    </row>
    <row r="39" spans="1:8" ht="15.75">
      <c r="A39" s="448">
        <v>10.1</v>
      </c>
      <c r="B39" s="450" t="s">
        <v>839</v>
      </c>
      <c r="C39" s="727">
        <v>0</v>
      </c>
      <c r="D39" s="727">
        <v>0</v>
      </c>
      <c r="E39" s="728">
        <f t="shared" si="0"/>
        <v>0</v>
      </c>
      <c r="F39" s="727">
        <v>14875.98</v>
      </c>
      <c r="G39" s="727">
        <v>0</v>
      </c>
      <c r="H39" s="729">
        <f t="shared" si="1"/>
        <v>14875.98</v>
      </c>
    </row>
    <row r="40" spans="1:8" ht="25.5">
      <c r="A40" s="448">
        <v>10.199999999999999</v>
      </c>
      <c r="B40" s="450" t="s">
        <v>840</v>
      </c>
      <c r="C40" s="727">
        <v>0</v>
      </c>
      <c r="D40" s="727">
        <v>0</v>
      </c>
      <c r="E40" s="728">
        <f t="shared" si="0"/>
        <v>0</v>
      </c>
      <c r="F40" s="727">
        <v>20</v>
      </c>
      <c r="G40" s="727">
        <v>0</v>
      </c>
      <c r="H40" s="729">
        <f t="shared" si="1"/>
        <v>20</v>
      </c>
    </row>
    <row r="41" spans="1:8" ht="25.5">
      <c r="A41" s="448">
        <v>10.3</v>
      </c>
      <c r="B41" s="450" t="s">
        <v>841</v>
      </c>
      <c r="C41" s="727">
        <v>11093369</v>
      </c>
      <c r="D41" s="727">
        <v>1923849</v>
      </c>
      <c r="E41" s="728">
        <f t="shared" si="0"/>
        <v>13017218</v>
      </c>
      <c r="F41" s="727">
        <v>11139733.52</v>
      </c>
      <c r="G41" s="727">
        <v>1793483.2199999988</v>
      </c>
      <c r="H41" s="729">
        <f t="shared" si="1"/>
        <v>12933216.739999998</v>
      </c>
    </row>
    <row r="42" spans="1:8" ht="25.5">
      <c r="A42" s="448">
        <v>10.4</v>
      </c>
      <c r="B42" s="450" t="s">
        <v>842</v>
      </c>
      <c r="C42" s="727">
        <v>9366068</v>
      </c>
      <c r="D42" s="727">
        <v>8845722</v>
      </c>
      <c r="E42" s="728">
        <f t="shared" si="0"/>
        <v>18211790</v>
      </c>
      <c r="F42" s="727">
        <v>5702625.0300000003</v>
      </c>
      <c r="G42" s="727">
        <v>4505744.4899999984</v>
      </c>
      <c r="H42" s="729">
        <f t="shared" si="1"/>
        <v>10208369.52</v>
      </c>
    </row>
    <row r="43" spans="1:8" ht="15.75">
      <c r="A43" s="448">
        <v>11</v>
      </c>
      <c r="B43" s="456" t="s">
        <v>186</v>
      </c>
      <c r="C43" s="727"/>
      <c r="D43" s="727"/>
      <c r="E43" s="728">
        <f t="shared" si="0"/>
        <v>0</v>
      </c>
      <c r="F43" s="727"/>
      <c r="G43" s="727"/>
      <c r="H43" s="729">
        <f t="shared" si="1"/>
        <v>0</v>
      </c>
    </row>
    <row r="44" spans="1:8" ht="15.75">
      <c r="C44" s="458"/>
      <c r="D44" s="458"/>
      <c r="E44" s="458"/>
      <c r="F44" s="458"/>
      <c r="G44" s="458"/>
      <c r="H44" s="458"/>
    </row>
    <row r="45" spans="1:8" ht="15.75">
      <c r="C45" s="458"/>
      <c r="D45" s="458"/>
      <c r="E45" s="458"/>
      <c r="F45" s="458"/>
      <c r="G45" s="458"/>
      <c r="H45" s="458"/>
    </row>
    <row r="46" spans="1:8" ht="15.75">
      <c r="C46" s="458"/>
      <c r="D46" s="458"/>
      <c r="E46" s="458"/>
      <c r="F46" s="458"/>
      <c r="G46" s="458"/>
      <c r="H46" s="458"/>
    </row>
    <row r="47" spans="1:8" ht="15.75">
      <c r="C47" s="458"/>
      <c r="D47" s="458"/>
      <c r="E47" s="458"/>
      <c r="F47" s="458"/>
      <c r="G47" s="458"/>
      <c r="H47" s="45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7" width="15.42578125" style="12" customWidth="1"/>
    <col min="8" max="11" width="9.7109375" style="12" customWidth="1"/>
    <col min="12" max="16384" width="9.28515625" style="12"/>
  </cols>
  <sheetData>
    <row r="1" spans="1:8" ht="15">
      <c r="A1" s="17" t="s">
        <v>108</v>
      </c>
      <c r="B1" s="16" t="str">
        <f>Info!C2</f>
        <v>JSC "VTB Bank (Georgia)"</v>
      </c>
      <c r="C1" s="16"/>
      <c r="D1" s="229"/>
    </row>
    <row r="2" spans="1:8" ht="15">
      <c r="A2" s="17" t="s">
        <v>109</v>
      </c>
      <c r="B2" s="339">
        <f>Info!D2</f>
        <v>45473</v>
      </c>
      <c r="C2" s="29"/>
      <c r="D2" s="18"/>
      <c r="E2" s="11"/>
      <c r="F2" s="11"/>
      <c r="G2" s="11"/>
      <c r="H2" s="11"/>
    </row>
    <row r="3" spans="1:8" ht="15.75" thickBot="1">
      <c r="A3" s="17"/>
      <c r="B3" s="16"/>
      <c r="C3" s="29"/>
      <c r="D3" s="18"/>
      <c r="E3" s="11"/>
      <c r="F3" s="11"/>
      <c r="G3" s="11"/>
      <c r="H3" s="11"/>
    </row>
    <row r="4" spans="1:8" ht="20.45" customHeight="1" thickBot="1">
      <c r="A4" s="154" t="s">
        <v>253</v>
      </c>
      <c r="B4" s="155" t="s">
        <v>107</v>
      </c>
      <c r="C4" s="699" t="s">
        <v>87</v>
      </c>
      <c r="D4" s="826" t="s">
        <v>985</v>
      </c>
      <c r="E4" s="827"/>
      <c r="F4" s="827"/>
      <c r="G4" s="828"/>
    </row>
    <row r="5" spans="1:8" ht="15" customHeight="1">
      <c r="A5" s="152" t="s">
        <v>25</v>
      </c>
      <c r="B5" s="153"/>
      <c r="C5" s="329" t="str">
        <f>INT((MONTH($B$2))/3)&amp;"Q"&amp;"-"&amp;YEAR($B$2)</f>
        <v>2Q-2024</v>
      </c>
      <c r="D5" s="329" t="str">
        <f>IF(INT(MONTH($B$2))=3, "4"&amp;"Q"&amp;"-"&amp;YEAR($B$2)-1, IF(INT(MONTH($B$2))=6, "1"&amp;"Q"&amp;"-"&amp;YEAR($B$2), IF(INT(MONTH($B$2))=9, "2"&amp;"Q"&amp;"-"&amp;YEAR($B$2),IF(INT(MONTH($B$2))=12, "3"&amp;"Q"&amp;"-"&amp;YEAR($B$2), 0))))</f>
        <v>1Q-2024</v>
      </c>
      <c r="E5" s="329" t="str">
        <f>IF(INT(MONTH($B$2))=3, "3"&amp;"Q"&amp;"-"&amp;YEAR($B$2)-1, IF(INT(MONTH($B$2))=6, "4"&amp;"Q"&amp;"-"&amp;YEAR($B$2)-1, IF(INT(MONTH($B$2))=9, "1"&amp;"Q"&amp;"-"&amp;YEAR($B$2),IF(INT(MONTH($B$2))=12, "2"&amp;"Q"&amp;"-"&amp;YEAR($B$2), 0))))</f>
        <v>4Q-2023</v>
      </c>
      <c r="F5" s="329" t="str">
        <f>IF(INT(MONTH($B$2))=3, "2"&amp;"Q"&amp;"-"&amp;YEAR($B$2)-1, IF(INT(MONTH($B$2))=6, "3"&amp;"Q"&amp;"-"&amp;YEAR($B$2)-1, IF(INT(MONTH($B$2))=9, "4"&amp;"Q"&amp;"-"&amp;YEAR($B$2)-1,IF(INT(MONTH($B$2))=12, "1"&amp;"Q"&amp;"-"&amp;YEAR($B$2), 0))))</f>
        <v>3Q-2023</v>
      </c>
      <c r="G5" s="329" t="str">
        <f>IF(INT(MONTH($B$2))=3, "1"&amp;"Q"&amp;"-"&amp;YEAR($B$2)-1, IF(INT(MONTH($B$2))=6, "2"&amp;"Q"&amp;"-"&amp;YEAR($B$2)-1, IF(INT(MONTH($B$2))=9, "3"&amp;"Q"&amp;"-"&amp;YEAR($B$2)-1,IF(INT(MONTH($B$2))=12, "4"&amp;"Q"&amp;"-"&amp;YEAR($B$2)-1, 0))))</f>
        <v>2Q-2023</v>
      </c>
    </row>
    <row r="6" spans="1:8" ht="15" customHeight="1">
      <c r="A6" s="265">
        <v>1</v>
      </c>
      <c r="B6" s="315" t="s">
        <v>112</v>
      </c>
      <c r="C6" s="266">
        <f>C7+C9+C10</f>
        <v>310114061.63538712</v>
      </c>
      <c r="D6" s="318">
        <f>D7+D9+D10</f>
        <v>305381708.72451621</v>
      </c>
      <c r="E6" s="267">
        <f t="shared" ref="E6:G6" si="0">E7+E9+E10</f>
        <v>309295514.42153382</v>
      </c>
      <c r="F6" s="266">
        <f t="shared" si="0"/>
        <v>262738589</v>
      </c>
      <c r="G6" s="319">
        <f t="shared" si="0"/>
        <v>284906995</v>
      </c>
    </row>
    <row r="7" spans="1:8" ht="15" customHeight="1">
      <c r="A7" s="265">
        <v>1.1000000000000001</v>
      </c>
      <c r="B7" s="268" t="s">
        <v>436</v>
      </c>
      <c r="C7" s="706">
        <v>310026244.58038962</v>
      </c>
      <c r="D7" s="706">
        <v>305250615.29279292</v>
      </c>
      <c r="E7" s="706">
        <v>309035278.55556041</v>
      </c>
      <c r="F7" s="707">
        <v>252343458</v>
      </c>
      <c r="G7" s="706">
        <v>273879588</v>
      </c>
    </row>
    <row r="8" spans="1:8" ht="25.5">
      <c r="A8" s="265" t="s">
        <v>157</v>
      </c>
      <c r="B8" s="269" t="s">
        <v>250</v>
      </c>
      <c r="C8" s="706">
        <v>0</v>
      </c>
      <c r="D8" s="706">
        <v>0</v>
      </c>
      <c r="E8" s="706">
        <v>0</v>
      </c>
      <c r="F8" s="707">
        <v>0</v>
      </c>
      <c r="G8" s="706">
        <v>0</v>
      </c>
    </row>
    <row r="9" spans="1:8" ht="15" customHeight="1">
      <c r="A9" s="265">
        <v>1.2</v>
      </c>
      <c r="B9" s="268" t="s">
        <v>21</v>
      </c>
      <c r="C9" s="706">
        <v>87817.054997499916</v>
      </c>
      <c r="D9" s="706">
        <v>131093.43172326882</v>
      </c>
      <c r="E9" s="706">
        <v>260235.86597339273</v>
      </c>
      <c r="F9" s="707">
        <v>10395131</v>
      </c>
      <c r="G9" s="706">
        <v>11027407</v>
      </c>
    </row>
    <row r="10" spans="1:8" ht="15" customHeight="1">
      <c r="A10" s="265">
        <v>1.3</v>
      </c>
      <c r="B10" s="316" t="s">
        <v>74</v>
      </c>
      <c r="C10" s="708">
        <v>0</v>
      </c>
      <c r="D10" s="708">
        <v>0</v>
      </c>
      <c r="E10" s="708">
        <v>0</v>
      </c>
      <c r="F10" s="707">
        <v>0</v>
      </c>
      <c r="G10" s="708">
        <v>0</v>
      </c>
    </row>
    <row r="11" spans="1:8" ht="15" customHeight="1">
      <c r="A11" s="265">
        <v>2</v>
      </c>
      <c r="B11" s="315" t="s">
        <v>113</v>
      </c>
      <c r="C11" s="706">
        <v>190200488.01198363</v>
      </c>
      <c r="D11" s="706">
        <v>181081494.18333694</v>
      </c>
      <c r="E11" s="706">
        <v>180456807.7795555</v>
      </c>
      <c r="F11" s="707">
        <v>169667044</v>
      </c>
      <c r="G11" s="706">
        <v>166490569</v>
      </c>
    </row>
    <row r="12" spans="1:8" ht="15" customHeight="1">
      <c r="A12" s="279">
        <v>3</v>
      </c>
      <c r="B12" s="317" t="s">
        <v>111</v>
      </c>
      <c r="C12" s="708">
        <v>94935796.149143949</v>
      </c>
      <c r="D12" s="708">
        <v>94935796.149143949</v>
      </c>
      <c r="E12" s="708">
        <v>94935796.149143949</v>
      </c>
      <c r="F12" s="707">
        <v>127656077</v>
      </c>
      <c r="G12" s="708">
        <v>127656077</v>
      </c>
    </row>
    <row r="13" spans="1:8" ht="15" customHeight="1" thickBot="1">
      <c r="A13" s="85">
        <v>4</v>
      </c>
      <c r="B13" s="322" t="s">
        <v>158</v>
      </c>
      <c r="C13" s="173">
        <f>C6+C11+C12</f>
        <v>595250345.79651475</v>
      </c>
      <c r="D13" s="320">
        <f>D6+D11+D12</f>
        <v>581398999.05699706</v>
      </c>
      <c r="E13" s="174">
        <f t="shared" ref="E13:G13" si="1">E6+E11+E12</f>
        <v>584688118.35023332</v>
      </c>
      <c r="F13" s="173">
        <f t="shared" si="1"/>
        <v>560061710</v>
      </c>
      <c r="G13" s="321">
        <f t="shared" si="1"/>
        <v>579053641</v>
      </c>
    </row>
    <row r="14" spans="1:8">
      <c r="B14" s="23"/>
      <c r="C14" s="663">
        <f>C13-'1. key ratios'!C15</f>
        <v>0</v>
      </c>
    </row>
    <row r="15" spans="1:8" ht="25.5">
      <c r="B15" s="66" t="s">
        <v>437</v>
      </c>
    </row>
    <row r="16" spans="1:8">
      <c r="B16" s="66"/>
    </row>
    <row r="17" spans="2:2" ht="25.5">
      <c r="B17" s="66" t="s">
        <v>984</v>
      </c>
    </row>
    <row r="18" spans="2:2">
      <c r="B18" s="66"/>
    </row>
  </sheetData>
  <mergeCells count="1">
    <mergeCell ref="D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activeCell="B2" sqref="B2"/>
      <selection pane="topRight" activeCell="B2" sqref="B2"/>
      <selection pane="bottomLeft" activeCell="B2" sqref="B2"/>
      <selection pane="bottomRight" activeCell="B10" sqref="B10"/>
    </sheetView>
  </sheetViews>
  <sheetFormatPr defaultRowHeight="15"/>
  <cols>
    <col min="1" max="1" width="9.5703125" style="2" bestFit="1" customWidth="1"/>
    <col min="2" max="2" width="58.7109375" style="2" customWidth="1"/>
    <col min="3" max="3" width="34.28515625" style="2" customWidth="1"/>
  </cols>
  <sheetData>
    <row r="1" spans="1:8">
      <c r="A1" s="2" t="s">
        <v>108</v>
      </c>
      <c r="B1" s="229" t="str">
        <f>Info!C2</f>
        <v>JSC "VTB Bank (Georgia)"</v>
      </c>
    </row>
    <row r="2" spans="1:8">
      <c r="A2" s="2" t="s">
        <v>109</v>
      </c>
      <c r="B2" s="339">
        <f>Info!D2</f>
        <v>45473</v>
      </c>
    </row>
    <row r="4" spans="1:8" ht="25.5" customHeight="1" thickBot="1">
      <c r="A4" s="167" t="s">
        <v>254</v>
      </c>
      <c r="B4" s="31" t="s">
        <v>91</v>
      </c>
      <c r="C4" s="13"/>
    </row>
    <row r="5" spans="1:8" ht="15.75">
      <c r="A5" s="10"/>
      <c r="B5" s="310" t="s">
        <v>92</v>
      </c>
      <c r="C5" s="327" t="s">
        <v>450</v>
      </c>
    </row>
    <row r="6" spans="1:8">
      <c r="A6" s="674">
        <v>1</v>
      </c>
      <c r="B6" s="673" t="s">
        <v>964</v>
      </c>
      <c r="C6" s="672" t="s">
        <v>965</v>
      </c>
    </row>
    <row r="7" spans="1:8">
      <c r="A7" s="674">
        <v>2</v>
      </c>
      <c r="B7" s="673" t="s">
        <v>966</v>
      </c>
      <c r="C7" s="672" t="s">
        <v>967</v>
      </c>
    </row>
    <row r="8" spans="1:8">
      <c r="A8" s="674">
        <v>3</v>
      </c>
      <c r="B8" s="673" t="s">
        <v>968</v>
      </c>
      <c r="C8" s="672" t="s">
        <v>967</v>
      </c>
    </row>
    <row r="9" spans="1:8">
      <c r="A9" s="674">
        <v>4</v>
      </c>
      <c r="B9" s="673" t="s">
        <v>987</v>
      </c>
      <c r="C9" s="672" t="s">
        <v>967</v>
      </c>
    </row>
    <row r="10" spans="1:8">
      <c r="A10" s="14">
        <v>5</v>
      </c>
      <c r="B10" s="32"/>
      <c r="C10" s="323"/>
    </row>
    <row r="11" spans="1:8">
      <c r="A11" s="14">
        <v>6</v>
      </c>
      <c r="B11" s="32"/>
      <c r="C11" s="323"/>
    </row>
    <row r="12" spans="1:8">
      <c r="A12" s="14">
        <v>7</v>
      </c>
      <c r="B12" s="32"/>
      <c r="C12" s="323"/>
      <c r="H12" s="4"/>
    </row>
    <row r="13" spans="1:8">
      <c r="A13" s="14">
        <v>8</v>
      </c>
      <c r="B13" s="32"/>
      <c r="C13" s="323"/>
    </row>
    <row r="14" spans="1:8">
      <c r="A14" s="14">
        <v>9</v>
      </c>
      <c r="B14" s="32"/>
      <c r="C14" s="323"/>
    </row>
    <row r="15" spans="1:8">
      <c r="A15" s="14">
        <v>10</v>
      </c>
      <c r="B15" s="32"/>
      <c r="C15" s="323"/>
    </row>
    <row r="16" spans="1:8">
      <c r="A16" s="14"/>
      <c r="B16" s="829"/>
      <c r="C16" s="830"/>
    </row>
    <row r="17" spans="1:3" ht="60">
      <c r="A17" s="14"/>
      <c r="B17" s="311" t="s">
        <v>93</v>
      </c>
      <c r="C17" s="328" t="s">
        <v>451</v>
      </c>
    </row>
    <row r="18" spans="1:3" ht="15.75">
      <c r="A18" s="674">
        <v>1</v>
      </c>
      <c r="B18" s="671" t="s">
        <v>969</v>
      </c>
      <c r="C18" s="670" t="s">
        <v>970</v>
      </c>
    </row>
    <row r="19" spans="1:3" ht="15.75">
      <c r="A19" s="674">
        <v>2</v>
      </c>
      <c r="B19" s="671" t="s">
        <v>971</v>
      </c>
      <c r="C19" s="670" t="s">
        <v>972</v>
      </c>
    </row>
    <row r="20" spans="1:3" ht="15.75">
      <c r="A20" s="674">
        <v>3</v>
      </c>
      <c r="B20" s="671" t="s">
        <v>973</v>
      </c>
      <c r="C20" s="670" t="s">
        <v>974</v>
      </c>
    </row>
    <row r="21" spans="1:3" ht="15.75">
      <c r="A21" s="674">
        <v>4</v>
      </c>
      <c r="B21" s="671" t="s">
        <v>975</v>
      </c>
      <c r="C21" s="670" t="s">
        <v>976</v>
      </c>
    </row>
    <row r="22" spans="1:3" ht="15.75">
      <c r="A22" s="674">
        <v>5</v>
      </c>
      <c r="B22" s="671" t="s">
        <v>977</v>
      </c>
      <c r="C22" s="670" t="s">
        <v>978</v>
      </c>
    </row>
    <row r="23" spans="1:3" ht="15.75">
      <c r="A23" s="674">
        <v>6</v>
      </c>
      <c r="B23" s="671" t="s">
        <v>979</v>
      </c>
      <c r="C23" s="670" t="s">
        <v>980</v>
      </c>
    </row>
    <row r="24" spans="1:3" ht="15.75">
      <c r="A24" s="14">
        <v>7</v>
      </c>
      <c r="B24" s="27"/>
      <c r="C24" s="325"/>
    </row>
    <row r="25" spans="1:3" ht="15.75">
      <c r="A25" s="14">
        <v>8</v>
      </c>
      <c r="B25" s="27"/>
      <c r="C25" s="325"/>
    </row>
    <row r="26" spans="1:3" ht="15.75">
      <c r="A26" s="14">
        <v>9</v>
      </c>
      <c r="B26" s="27"/>
      <c r="C26" s="325"/>
    </row>
    <row r="27" spans="1:3" ht="15.75" customHeight="1">
      <c r="A27" s="14">
        <v>10</v>
      </c>
      <c r="B27" s="27"/>
      <c r="C27" s="326"/>
    </row>
    <row r="28" spans="1:3" ht="15.75" customHeight="1">
      <c r="A28" s="14"/>
      <c r="B28" s="27"/>
      <c r="C28" s="28"/>
    </row>
    <row r="29" spans="1:3" ht="30" customHeight="1">
      <c r="A29" s="14"/>
      <c r="B29" s="831" t="s">
        <v>94</v>
      </c>
      <c r="C29" s="832"/>
    </row>
    <row r="30" spans="1:3">
      <c r="A30" s="14">
        <v>1</v>
      </c>
      <c r="B30" s="673" t="s">
        <v>981</v>
      </c>
      <c r="C30" s="669">
        <v>0.97384321770185212</v>
      </c>
    </row>
    <row r="31" spans="1:3" ht="15.75" customHeight="1">
      <c r="A31" s="14">
        <v>2</v>
      </c>
      <c r="B31" s="673" t="s">
        <v>982</v>
      </c>
      <c r="C31" s="669">
        <v>1.472765597699272E-2</v>
      </c>
    </row>
    <row r="32" spans="1:3" ht="29.25" customHeight="1">
      <c r="A32" s="14"/>
      <c r="B32" s="831" t="s">
        <v>174</v>
      </c>
      <c r="C32" s="832"/>
    </row>
    <row r="33" spans="1:3">
      <c r="A33" s="14">
        <v>1</v>
      </c>
      <c r="B33" s="673" t="s">
        <v>983</v>
      </c>
      <c r="C33" s="668">
        <v>0.60183510853974465</v>
      </c>
    </row>
    <row r="34" spans="1:3" ht="16.5" thickBot="1">
      <c r="A34" s="15"/>
      <c r="B34" s="33"/>
      <c r="C34" s="324"/>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55" zoomScaleNormal="55" workbookViewId="0">
      <pane xSplit="1" ySplit="5" topLeftCell="B6" activePane="bottomRight" state="frozen"/>
      <selection activeCell="B2" sqref="B2"/>
      <selection pane="topRight" activeCell="B2" sqref="B2"/>
      <selection pane="bottomLeft" activeCell="B2" sqref="B2"/>
      <selection pane="bottomRight" activeCell="E36" sqref="C5:E36"/>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9">
        <f>Info!D2</f>
        <v>45473</v>
      </c>
    </row>
    <row r="3" spans="1:7" s="21" customFormat="1" ht="15.75" customHeight="1"/>
    <row r="4" spans="1:7" s="21" customFormat="1" ht="15.75" customHeight="1" thickBot="1">
      <c r="A4" s="168" t="s">
        <v>255</v>
      </c>
      <c r="B4" s="169" t="s">
        <v>168</v>
      </c>
      <c r="C4" s="134"/>
      <c r="D4" s="134"/>
      <c r="E4" s="135" t="s">
        <v>87</v>
      </c>
    </row>
    <row r="5" spans="1:7" s="81" customFormat="1" ht="17.850000000000001" customHeight="1">
      <c r="A5" s="241"/>
      <c r="B5" s="242"/>
      <c r="C5" s="133" t="s">
        <v>0</v>
      </c>
      <c r="D5" s="133" t="s">
        <v>1</v>
      </c>
      <c r="E5" s="243" t="s">
        <v>2</v>
      </c>
    </row>
    <row r="6" spans="1:7" s="101" customFormat="1" ht="14.85" customHeight="1">
      <c r="A6" s="244"/>
      <c r="B6" s="833" t="s">
        <v>144</v>
      </c>
      <c r="C6" s="833" t="s">
        <v>856</v>
      </c>
      <c r="D6" s="834" t="s">
        <v>143</v>
      </c>
      <c r="E6" s="835"/>
      <c r="G6"/>
    </row>
    <row r="7" spans="1:7" s="101" customFormat="1" ht="99.6" customHeight="1">
      <c r="A7" s="244"/>
      <c r="B7" s="833"/>
      <c r="C7" s="833"/>
      <c r="D7" s="239" t="s">
        <v>142</v>
      </c>
      <c r="E7" s="240" t="s">
        <v>353</v>
      </c>
      <c r="G7"/>
    </row>
    <row r="8" spans="1:7" s="101" customFormat="1" ht="22.5" customHeight="1">
      <c r="A8" s="460">
        <v>1</v>
      </c>
      <c r="B8" s="405" t="s">
        <v>843</v>
      </c>
      <c r="C8" s="749">
        <f>SUM(C9:C11)</f>
        <v>163000664.70109999</v>
      </c>
      <c r="D8" s="749">
        <f t="shared" ref="D8:E8" si="0">SUM(D9:D11)</f>
        <v>0</v>
      </c>
      <c r="E8" s="749">
        <f t="shared" si="0"/>
        <v>163000664.70109999</v>
      </c>
      <c r="G8"/>
    </row>
    <row r="9" spans="1:7" s="101" customFormat="1">
      <c r="A9" s="460">
        <v>1.1000000000000001</v>
      </c>
      <c r="B9" s="406" t="s">
        <v>96</v>
      </c>
      <c r="C9" s="749">
        <f>'2. SOFP'!E8</f>
        <v>156119934.15829998</v>
      </c>
      <c r="D9" s="749">
        <v>0</v>
      </c>
      <c r="E9" s="749">
        <f>C9-D9</f>
        <v>156119934.15829998</v>
      </c>
      <c r="G9"/>
    </row>
    <row r="10" spans="1:7" s="101" customFormat="1">
      <c r="A10" s="460">
        <v>1.2</v>
      </c>
      <c r="B10" s="406" t="s">
        <v>97</v>
      </c>
      <c r="C10" s="749">
        <f>'2. SOFP'!E9</f>
        <v>351.36</v>
      </c>
      <c r="D10" s="749">
        <v>0</v>
      </c>
      <c r="E10" s="749">
        <f t="shared" ref="E10:E15" si="1">C10-D10</f>
        <v>351.36</v>
      </c>
      <c r="G10"/>
    </row>
    <row r="11" spans="1:7" s="101" customFormat="1">
      <c r="A11" s="460">
        <v>1.3</v>
      </c>
      <c r="B11" s="406" t="s">
        <v>98</v>
      </c>
      <c r="C11" s="749">
        <f>'2. SOFP'!E10</f>
        <v>6880379.1827999996</v>
      </c>
      <c r="D11" s="749">
        <v>0</v>
      </c>
      <c r="E11" s="749">
        <f t="shared" si="1"/>
        <v>6880379.1827999996</v>
      </c>
      <c r="G11"/>
    </row>
    <row r="12" spans="1:7" s="101" customFormat="1">
      <c r="A12" s="460">
        <v>2</v>
      </c>
      <c r="B12" s="407" t="s">
        <v>730</v>
      </c>
      <c r="C12" s="749"/>
      <c r="D12" s="749"/>
      <c r="E12" s="749">
        <f t="shared" si="1"/>
        <v>0</v>
      </c>
      <c r="G12"/>
    </row>
    <row r="13" spans="1:7" s="101" customFormat="1" ht="21">
      <c r="A13" s="460">
        <v>2.1</v>
      </c>
      <c r="B13" s="408" t="s">
        <v>731</v>
      </c>
      <c r="C13" s="749"/>
      <c r="D13" s="749"/>
      <c r="E13" s="749">
        <f t="shared" si="1"/>
        <v>0</v>
      </c>
      <c r="G13"/>
    </row>
    <row r="14" spans="1:7" s="101" customFormat="1" ht="34.35" customHeight="1">
      <c r="A14" s="460">
        <v>3</v>
      </c>
      <c r="B14" s="409" t="s">
        <v>732</v>
      </c>
      <c r="C14" s="749"/>
      <c r="D14" s="749"/>
      <c r="E14" s="749">
        <f t="shared" si="1"/>
        <v>0</v>
      </c>
      <c r="G14"/>
    </row>
    <row r="15" spans="1:7" s="101" customFormat="1" ht="32.85" customHeight="1">
      <c r="A15" s="460">
        <v>4</v>
      </c>
      <c r="B15" s="410" t="s">
        <v>733</v>
      </c>
      <c r="C15" s="749"/>
      <c r="D15" s="749"/>
      <c r="E15" s="749">
        <f t="shared" si="1"/>
        <v>0</v>
      </c>
      <c r="G15"/>
    </row>
    <row r="16" spans="1:7" s="101" customFormat="1" ht="23.1" customHeight="1">
      <c r="A16" s="460">
        <v>5</v>
      </c>
      <c r="B16" s="410" t="s">
        <v>734</v>
      </c>
      <c r="C16" s="749">
        <f>SUM(C17:C19)</f>
        <v>0</v>
      </c>
      <c r="D16" s="749">
        <f t="shared" ref="D16:E16" si="2">SUM(D17:D19)</f>
        <v>0</v>
      </c>
      <c r="E16" s="749">
        <f t="shared" si="2"/>
        <v>0</v>
      </c>
      <c r="G16"/>
    </row>
    <row r="17" spans="1:7" s="101" customFormat="1">
      <c r="A17" s="460">
        <v>5.0999999999999996</v>
      </c>
      <c r="B17" s="411" t="s">
        <v>735</v>
      </c>
      <c r="C17" s="749"/>
      <c r="D17" s="749"/>
      <c r="E17" s="749">
        <f t="shared" ref="E17:E19" si="3">C17-D17</f>
        <v>0</v>
      </c>
      <c r="G17"/>
    </row>
    <row r="18" spans="1:7" s="101" customFormat="1">
      <c r="A18" s="460">
        <v>5.2</v>
      </c>
      <c r="B18" s="411" t="s">
        <v>569</v>
      </c>
      <c r="C18" s="749"/>
      <c r="D18" s="749"/>
      <c r="E18" s="749">
        <f t="shared" si="3"/>
        <v>0</v>
      </c>
      <c r="G18"/>
    </row>
    <row r="19" spans="1:7" s="101" customFormat="1">
      <c r="A19" s="460">
        <v>5.3</v>
      </c>
      <c r="B19" s="411" t="s">
        <v>736</v>
      </c>
      <c r="C19" s="749"/>
      <c r="D19" s="749"/>
      <c r="E19" s="749">
        <f t="shared" si="3"/>
        <v>0</v>
      </c>
      <c r="G19"/>
    </row>
    <row r="20" spans="1:7" s="101" customFormat="1" ht="21">
      <c r="A20" s="460">
        <v>6</v>
      </c>
      <c r="B20" s="409" t="s">
        <v>737</v>
      </c>
      <c r="C20" s="749">
        <f>SUM(C21:C22)</f>
        <v>195005351.12302589</v>
      </c>
      <c r="D20" s="749">
        <f t="shared" ref="D20" si="4">SUM(D21:D22)</f>
        <v>0</v>
      </c>
      <c r="E20" s="749">
        <f>SUM(E21:E22)</f>
        <v>195005351.12302589</v>
      </c>
      <c r="G20"/>
    </row>
    <row r="21" spans="1:7">
      <c r="A21" s="460">
        <v>6.1</v>
      </c>
      <c r="B21" s="411" t="s">
        <v>569</v>
      </c>
      <c r="C21" s="750"/>
      <c r="D21" s="750"/>
      <c r="E21" s="750"/>
    </row>
    <row r="22" spans="1:7">
      <c r="A22" s="460">
        <v>6.2</v>
      </c>
      <c r="B22" s="411" t="s">
        <v>736</v>
      </c>
      <c r="C22" s="750">
        <f>'2. SOFP'!E19</f>
        <v>195005351.12302589</v>
      </c>
      <c r="D22" s="750">
        <v>0</v>
      </c>
      <c r="E22" s="749">
        <f t="shared" ref="E22:E23" si="5">C22-D22</f>
        <v>195005351.12302589</v>
      </c>
    </row>
    <row r="23" spans="1:7" ht="21">
      <c r="A23" s="460">
        <v>7</v>
      </c>
      <c r="B23" s="412" t="s">
        <v>738</v>
      </c>
      <c r="C23" s="750">
        <f>'2. SOFP'!E22</f>
        <v>54000</v>
      </c>
      <c r="D23" s="750">
        <v>0</v>
      </c>
      <c r="E23" s="749">
        <f t="shared" si="5"/>
        <v>54000</v>
      </c>
    </row>
    <row r="24" spans="1:7" ht="21">
      <c r="A24" s="460">
        <v>8</v>
      </c>
      <c r="B24" s="413" t="s">
        <v>739</v>
      </c>
      <c r="C24" s="750"/>
      <c r="D24" s="750"/>
      <c r="E24" s="750"/>
    </row>
    <row r="25" spans="1:7">
      <c r="A25" s="460">
        <v>9</v>
      </c>
      <c r="B25" s="410" t="s">
        <v>740</v>
      </c>
      <c r="C25" s="750">
        <f>SUM(C26:C27)</f>
        <v>62112391.230000004</v>
      </c>
      <c r="D25" s="750">
        <f t="shared" ref="D25:E25" si="6">SUM(D26:D27)</f>
        <v>0</v>
      </c>
      <c r="E25" s="750">
        <f t="shared" si="6"/>
        <v>62112391.230000004</v>
      </c>
    </row>
    <row r="26" spans="1:7">
      <c r="A26" s="460">
        <v>9.1</v>
      </c>
      <c r="B26" s="414" t="s">
        <v>741</v>
      </c>
      <c r="C26" s="750">
        <f>'[4]FSF-SOFP'!$W$32</f>
        <v>33937909.550000004</v>
      </c>
      <c r="D26" s="750"/>
      <c r="E26" s="749">
        <f t="shared" ref="E26:E27" si="7">C26-D26</f>
        <v>33937909.550000004</v>
      </c>
    </row>
    <row r="27" spans="1:7">
      <c r="A27" s="460">
        <v>9.1999999999999993</v>
      </c>
      <c r="B27" s="414" t="s">
        <v>742</v>
      </c>
      <c r="C27" s="750">
        <f>'[4]FSF-SOFP'!$W$28</f>
        <v>28174481.68</v>
      </c>
      <c r="D27" s="750"/>
      <c r="E27" s="749">
        <f t="shared" si="7"/>
        <v>28174481.68</v>
      </c>
    </row>
    <row r="28" spans="1:7">
      <c r="A28" s="460">
        <v>10</v>
      </c>
      <c r="B28" s="410" t="s">
        <v>36</v>
      </c>
      <c r="C28" s="750">
        <f>SUM(C29:C30)</f>
        <v>1120927.04</v>
      </c>
      <c r="D28" s="750">
        <f t="shared" ref="D28:E28" si="8">SUM(D29:D30)</f>
        <v>1120927.04</v>
      </c>
      <c r="E28" s="750">
        <f t="shared" si="8"/>
        <v>0</v>
      </c>
    </row>
    <row r="29" spans="1:7">
      <c r="A29" s="460">
        <v>10.1</v>
      </c>
      <c r="B29" s="414" t="s">
        <v>743</v>
      </c>
      <c r="C29" s="750"/>
      <c r="D29" s="750"/>
      <c r="E29" s="749">
        <f>C29-D29</f>
        <v>0</v>
      </c>
    </row>
    <row r="30" spans="1:7">
      <c r="A30" s="460">
        <v>10.199999999999999</v>
      </c>
      <c r="B30" s="414" t="s">
        <v>744</v>
      </c>
      <c r="C30" s="750">
        <f>'[4]FSF-SOFP'!$W$33</f>
        <v>1120927.04</v>
      </c>
      <c r="D30" s="750">
        <f>C30</f>
        <v>1120927.04</v>
      </c>
      <c r="E30" s="749">
        <f>C30-D30</f>
        <v>0</v>
      </c>
    </row>
    <row r="31" spans="1:7">
      <c r="A31" s="460">
        <v>11</v>
      </c>
      <c r="B31" s="410" t="s">
        <v>745</v>
      </c>
      <c r="C31" s="750">
        <f>SUM(C32:C33)</f>
        <v>929001.43</v>
      </c>
      <c r="D31" s="750">
        <f t="shared" ref="D31:E31" si="9">SUM(D32:D33)</f>
        <v>0</v>
      </c>
      <c r="E31" s="750">
        <f t="shared" si="9"/>
        <v>929001.43</v>
      </c>
    </row>
    <row r="32" spans="1:7">
      <c r="A32" s="460">
        <v>11.1</v>
      </c>
      <c r="B32" s="414" t="s">
        <v>746</v>
      </c>
      <c r="C32" s="750">
        <f>'[4]FSF-SOFP'!$W$35</f>
        <v>929001.43</v>
      </c>
      <c r="D32" s="750"/>
      <c r="E32" s="749">
        <f t="shared" ref="E32:E35" si="10">C32-D32</f>
        <v>929001.43</v>
      </c>
    </row>
    <row r="33" spans="1:7">
      <c r="A33" s="460">
        <v>11.2</v>
      </c>
      <c r="B33" s="414" t="s">
        <v>747</v>
      </c>
      <c r="C33" s="750"/>
      <c r="D33" s="750"/>
      <c r="E33" s="749">
        <f t="shared" si="10"/>
        <v>0</v>
      </c>
    </row>
    <row r="34" spans="1:7">
      <c r="A34" s="460">
        <v>13</v>
      </c>
      <c r="B34" s="410" t="s">
        <v>99</v>
      </c>
      <c r="C34" s="750">
        <f>'[4]FSF-SOFP'!$W$37</f>
        <v>40247488.414930895</v>
      </c>
      <c r="D34" s="750"/>
      <c r="E34" s="749">
        <f t="shared" si="10"/>
        <v>40247488.414930895</v>
      </c>
    </row>
    <row r="35" spans="1:7">
      <c r="A35" s="460">
        <v>13.1</v>
      </c>
      <c r="B35" s="415" t="s">
        <v>748</v>
      </c>
      <c r="C35" s="750">
        <f>'[4]FSF-12'!$D$11</f>
        <v>22019563.32</v>
      </c>
      <c r="D35" s="750"/>
      <c r="E35" s="749">
        <f t="shared" si="10"/>
        <v>22019563.32</v>
      </c>
    </row>
    <row r="36" spans="1:7">
      <c r="A36" s="460">
        <v>13.2</v>
      </c>
      <c r="B36" s="415" t="s">
        <v>749</v>
      </c>
      <c r="C36" s="462"/>
      <c r="D36" s="462"/>
      <c r="E36" s="461">
        <f t="shared" ref="E36" si="11">C36-D36</f>
        <v>0</v>
      </c>
    </row>
    <row r="37" spans="1:7" ht="51.75" thickBot="1">
      <c r="A37" s="245"/>
      <c r="B37" s="246" t="s">
        <v>320</v>
      </c>
      <c r="C37" s="205">
        <f>SUM(C8,C12,C14,C15,C16,C20,C23,C24,C25,C28,C31,C34)</f>
        <v>462469823.93905681</v>
      </c>
      <c r="D37" s="205">
        <f t="shared" ref="D37:E37" si="12">SUM(D8,D12,D14,D15,D16,D20,D23,D24,D25,D28,D31,D34)</f>
        <v>1120927.04</v>
      </c>
      <c r="E37" s="205">
        <f t="shared" si="12"/>
        <v>461348896.89905679</v>
      </c>
    </row>
    <row r="38" spans="1:7">
      <c r="A38"/>
      <c r="B38"/>
      <c r="C38" s="662">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6" sqref="C6"/>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9">
        <f>Info!D2</f>
        <v>45473</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5">
        <f>'7. LI1'!E37</f>
        <v>461348896.89905679</v>
      </c>
    </row>
    <row r="6" spans="1:6" s="126" customFormat="1">
      <c r="A6" s="80">
        <v>2.1</v>
      </c>
      <c r="B6" s="143" t="s">
        <v>861</v>
      </c>
      <c r="C6" s="176">
        <v>2236266.6291629998</v>
      </c>
    </row>
    <row r="7" spans="1:6" s="4" customFormat="1" ht="25.5" outlineLevel="1">
      <c r="A7" s="142">
        <v>2.2000000000000002</v>
      </c>
      <c r="B7" s="138" t="s">
        <v>862</v>
      </c>
      <c r="C7" s="177"/>
    </row>
    <row r="8" spans="1:6" s="4" customFormat="1" ht="26.25">
      <c r="A8" s="142">
        <v>3</v>
      </c>
      <c r="B8" s="139" t="s">
        <v>728</v>
      </c>
      <c r="C8" s="178">
        <f>SUM(C5:C7)</f>
        <v>463585163.52821982</v>
      </c>
    </row>
    <row r="9" spans="1:6" s="126" customFormat="1">
      <c r="A9" s="80">
        <v>4</v>
      </c>
      <c r="B9" s="146" t="s">
        <v>169</v>
      </c>
      <c r="C9" s="176"/>
    </row>
    <row r="10" spans="1:6" s="4" customFormat="1" ht="25.5" outlineLevel="1">
      <c r="A10" s="142">
        <v>5.0999999999999996</v>
      </c>
      <c r="B10" s="138" t="s">
        <v>175</v>
      </c>
      <c r="C10" s="177">
        <v>-1108133.3145814999</v>
      </c>
    </row>
    <row r="11" spans="1:6" s="4" customFormat="1" ht="25.5" outlineLevel="1">
      <c r="A11" s="142">
        <v>5.2</v>
      </c>
      <c r="B11" s="138" t="s">
        <v>176</v>
      </c>
      <c r="C11" s="177"/>
    </row>
    <row r="12" spans="1:6" s="4" customFormat="1">
      <c r="A12" s="142">
        <v>6</v>
      </c>
      <c r="B12" s="144" t="s">
        <v>438</v>
      </c>
      <c r="C12" s="247"/>
    </row>
    <row r="13" spans="1:6" s="4" customFormat="1" ht="15.75" thickBot="1">
      <c r="A13" s="145">
        <v>7</v>
      </c>
      <c r="B13" s="140" t="s">
        <v>170</v>
      </c>
      <c r="C13" s="179">
        <f>SUM(C8:C12)</f>
        <v>462477030.21363831</v>
      </c>
      <c r="D13" s="661"/>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2024-07-30T18:41:30Z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