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19395" windowHeight="10395" tabRatio="894"/>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calcOnSave="0"/>
</workbook>
</file>

<file path=xl/calcChain.xml><?xml version="1.0" encoding="utf-8"?>
<calcChain xmlns="http://schemas.openxmlformats.org/spreadsheetml/2006/main">
  <c r="G69" i="92" l="1"/>
  <c r="C21" i="96" l="1"/>
  <c r="C22" i="96" l="1"/>
  <c r="C10" i="99"/>
  <c r="H33" i="97" l="1"/>
  <c r="H8" i="97"/>
  <c r="F33" i="97"/>
  <c r="H7" i="97"/>
  <c r="H9" i="97"/>
  <c r="H10" i="97"/>
  <c r="H11" i="97"/>
  <c r="H12" i="97"/>
  <c r="H13" i="97"/>
  <c r="H14" i="97"/>
  <c r="H15" i="97"/>
  <c r="H16" i="97"/>
  <c r="H17" i="97"/>
  <c r="H18" i="97"/>
  <c r="H19" i="97"/>
  <c r="H20" i="97"/>
  <c r="H21" i="97"/>
  <c r="H22" i="97"/>
  <c r="H23" i="97"/>
  <c r="H24" i="97"/>
  <c r="H25" i="97"/>
  <c r="H26" i="97"/>
  <c r="H27" i="97"/>
  <c r="H28" i="97"/>
  <c r="H29" i="97"/>
  <c r="H30" i="97"/>
  <c r="H31" i="97"/>
  <c r="H32" i="97"/>
  <c r="H7" i="96" l="1"/>
  <c r="H8" i="96"/>
  <c r="H9" i="96"/>
  <c r="H10" i="96"/>
  <c r="H11" i="96"/>
  <c r="H12" i="96"/>
  <c r="H13" i="96"/>
  <c r="I13" i="96" s="1"/>
  <c r="H14" i="96"/>
  <c r="I14" i="96" s="1"/>
  <c r="H15" i="96"/>
  <c r="I15" i="96"/>
  <c r="H16" i="96"/>
  <c r="I16" i="96" s="1"/>
  <c r="H17" i="96"/>
  <c r="H18" i="96"/>
  <c r="H19" i="96"/>
  <c r="H20" i="96"/>
  <c r="C67" i="69" l="1"/>
  <c r="E14" i="71"/>
  <c r="D14" i="71"/>
  <c r="E8" i="94"/>
  <c r="H8" i="94"/>
  <c r="E9" i="94"/>
  <c r="H9" i="94"/>
  <c r="E10" i="94"/>
  <c r="H10" i="94"/>
  <c r="E6" i="94"/>
  <c r="H6" i="94"/>
  <c r="E7" i="94"/>
  <c r="H7" i="94"/>
  <c r="C11" i="94"/>
  <c r="E11" i="94" s="1"/>
  <c r="D11" i="94"/>
  <c r="F11" i="94"/>
  <c r="H11" i="94" s="1"/>
  <c r="G11" i="94"/>
  <c r="E12" i="94"/>
  <c r="H12" i="94"/>
  <c r="E13" i="94"/>
  <c r="H13" i="94"/>
  <c r="C14" i="94"/>
  <c r="D14" i="94"/>
  <c r="F14" i="94"/>
  <c r="H14" i="94" s="1"/>
  <c r="G14" i="94"/>
  <c r="E15" i="94"/>
  <c r="H15" i="94"/>
  <c r="E16" i="94"/>
  <c r="H16" i="94"/>
  <c r="E17" i="94"/>
  <c r="H17" i="94"/>
  <c r="E18" i="94"/>
  <c r="H18" i="94"/>
  <c r="E19" i="94"/>
  <c r="H19" i="94"/>
  <c r="E20" i="94"/>
  <c r="H20" i="94"/>
  <c r="E21" i="94"/>
  <c r="H21" i="94"/>
  <c r="E22" i="94"/>
  <c r="H22" i="94"/>
  <c r="E23" i="94"/>
  <c r="H23" i="94"/>
  <c r="E24" i="94"/>
  <c r="H24" i="94"/>
  <c r="E25" i="94"/>
  <c r="H25" i="94"/>
  <c r="E26" i="94"/>
  <c r="H26" i="94"/>
  <c r="E27" i="94"/>
  <c r="H27" i="94"/>
  <c r="E28" i="94"/>
  <c r="H28" i="94"/>
  <c r="E29" i="94"/>
  <c r="H29" i="94"/>
  <c r="C30" i="94"/>
  <c r="D30" i="94"/>
  <c r="E30" i="94"/>
  <c r="F30" i="94"/>
  <c r="H30" i="94" s="1"/>
  <c r="G30" i="94"/>
  <c r="E31" i="94"/>
  <c r="H31" i="94"/>
  <c r="E32" i="94"/>
  <c r="H32" i="94"/>
  <c r="E33" i="94"/>
  <c r="H33" i="94"/>
  <c r="E34" i="94"/>
  <c r="H34" i="94"/>
  <c r="E35" i="94"/>
  <c r="H35" i="94"/>
  <c r="E36" i="94"/>
  <c r="H36" i="94"/>
  <c r="E37" i="94"/>
  <c r="H37" i="94"/>
  <c r="E38" i="94"/>
  <c r="H38" i="94"/>
  <c r="E39" i="94"/>
  <c r="H39" i="94"/>
  <c r="E40" i="94"/>
  <c r="H40" i="94"/>
  <c r="E41" i="94"/>
  <c r="H41" i="94"/>
  <c r="E42" i="94"/>
  <c r="H42" i="94"/>
  <c r="E43" i="94"/>
  <c r="H43" i="94"/>
  <c r="E14" i="94" l="1"/>
  <c r="H45" i="93" l="1"/>
  <c r="E45" i="93"/>
  <c r="H44" i="93"/>
  <c r="E44" i="93"/>
  <c r="H43" i="93"/>
  <c r="E43" i="93"/>
  <c r="H42" i="93"/>
  <c r="E42" i="93"/>
  <c r="H41" i="93"/>
  <c r="E41" i="93"/>
  <c r="H40" i="93"/>
  <c r="E40" i="93"/>
  <c r="H39" i="93"/>
  <c r="E39" i="93"/>
  <c r="H38" i="93"/>
  <c r="E38" i="93"/>
  <c r="H37" i="93"/>
  <c r="E37" i="93"/>
  <c r="H36" i="93"/>
  <c r="E36" i="93"/>
  <c r="H35" i="93"/>
  <c r="E35" i="93"/>
  <c r="H34" i="93"/>
  <c r="E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H6" i="93"/>
  <c r="E6" i="93"/>
  <c r="H69" i="92"/>
  <c r="E69" i="92"/>
  <c r="H68" i="92"/>
  <c r="E68" i="92"/>
  <c r="H67" i="92"/>
  <c r="E67" i="92"/>
  <c r="H66" i="92"/>
  <c r="E66" i="92"/>
  <c r="H65" i="92"/>
  <c r="E65" i="92"/>
  <c r="H64" i="92"/>
  <c r="E64" i="92"/>
  <c r="H63" i="92"/>
  <c r="E63" i="92"/>
  <c r="H62" i="92"/>
  <c r="E62" i="92"/>
  <c r="H61" i="92"/>
  <c r="E61" i="92"/>
  <c r="H60" i="92"/>
  <c r="E60" i="92"/>
  <c r="H59" i="92"/>
  <c r="E59" i="92"/>
  <c r="H58" i="92"/>
  <c r="E58" i="92"/>
  <c r="H57" i="92"/>
  <c r="E57" i="92"/>
  <c r="H56" i="92"/>
  <c r="E56" i="92"/>
  <c r="H55" i="92"/>
  <c r="E55" i="92"/>
  <c r="H53" i="92"/>
  <c r="E53" i="92"/>
  <c r="H52" i="92"/>
  <c r="E52" i="92"/>
  <c r="H51" i="92"/>
  <c r="E51" i="92"/>
  <c r="H50" i="92"/>
  <c r="E50" i="92"/>
  <c r="H49" i="92"/>
  <c r="E49" i="92"/>
  <c r="H48" i="92"/>
  <c r="E48" i="92"/>
  <c r="H47" i="92"/>
  <c r="E47" i="92"/>
  <c r="H46" i="92"/>
  <c r="E46" i="92"/>
  <c r="H45" i="92"/>
  <c r="E45" i="92"/>
  <c r="H44" i="92"/>
  <c r="E44" i="92"/>
  <c r="H43" i="92"/>
  <c r="E43" i="92"/>
  <c r="H42" i="92"/>
  <c r="E42" i="92"/>
  <c r="H41" i="92"/>
  <c r="E41" i="92"/>
  <c r="H40" i="92"/>
  <c r="E40" i="92"/>
  <c r="H39" i="92"/>
  <c r="E39" i="92"/>
  <c r="H38" i="92"/>
  <c r="E38" i="92"/>
  <c r="H36" i="92"/>
  <c r="E36" i="92"/>
  <c r="H35" i="92"/>
  <c r="E35" i="92"/>
  <c r="H34" i="92"/>
  <c r="E34" i="92"/>
  <c r="H33" i="92"/>
  <c r="E33" i="92"/>
  <c r="H32" i="92"/>
  <c r="E32" i="92"/>
  <c r="H31" i="92"/>
  <c r="E31" i="92"/>
  <c r="H30" i="92"/>
  <c r="E30" i="92"/>
  <c r="H29" i="92"/>
  <c r="E29" i="92"/>
  <c r="H28" i="92"/>
  <c r="E28" i="92"/>
  <c r="H27" i="92"/>
  <c r="E27" i="92"/>
  <c r="H26" i="92"/>
  <c r="E26" i="92"/>
  <c r="H25" i="92"/>
  <c r="E25" i="92"/>
  <c r="H24" i="92"/>
  <c r="E24" i="92"/>
  <c r="H23" i="92"/>
  <c r="E23" i="92"/>
  <c r="H22" i="92"/>
  <c r="E22" i="92"/>
  <c r="H21" i="92"/>
  <c r="E21" i="92"/>
  <c r="H20" i="92"/>
  <c r="E20" i="92"/>
  <c r="H19" i="92"/>
  <c r="E19" i="92"/>
  <c r="H18" i="92"/>
  <c r="E18" i="92"/>
  <c r="H17" i="92"/>
  <c r="E17" i="92"/>
  <c r="H16" i="92"/>
  <c r="E16" i="92"/>
  <c r="H15" i="92"/>
  <c r="E15" i="92"/>
  <c r="H14" i="92"/>
  <c r="E14" i="92"/>
  <c r="H13" i="92"/>
  <c r="E13" i="92"/>
  <c r="H12" i="92"/>
  <c r="E12" i="92"/>
  <c r="H11" i="92"/>
  <c r="E11" i="92"/>
  <c r="H10" i="92"/>
  <c r="E10" i="92"/>
  <c r="H9" i="92"/>
  <c r="E9" i="92"/>
  <c r="H8" i="92"/>
  <c r="E8" i="92"/>
  <c r="H7" i="92"/>
  <c r="E7" i="92"/>
  <c r="K5" i="6"/>
  <c r="E21" i="96" l="1"/>
  <c r="C27" i="69" l="1"/>
  <c r="C15" i="100" l="1"/>
  <c r="D15" i="100"/>
  <c r="E15" i="100"/>
  <c r="F15" i="100"/>
  <c r="G15" i="100"/>
  <c r="H15" i="100"/>
  <c r="I15" i="100"/>
  <c r="J15" i="100"/>
  <c r="K15" i="100"/>
  <c r="L15" i="100"/>
  <c r="M15" i="100"/>
  <c r="N15" i="100"/>
  <c r="O15" i="100"/>
  <c r="P15" i="100"/>
  <c r="Q15" i="100"/>
  <c r="R15" i="100"/>
  <c r="S15" i="100"/>
  <c r="C12" i="28" l="1"/>
  <c r="C32" i="28"/>
  <c r="C31" i="28" s="1"/>
  <c r="C42" i="28" s="1"/>
  <c r="C36" i="28"/>
  <c r="C44" i="28"/>
  <c r="H70" i="92" l="1"/>
  <c r="E70" i="92"/>
  <c r="C23" i="72"/>
  <c r="C22" i="72"/>
  <c r="C11" i="72"/>
  <c r="C10" i="72"/>
  <c r="C9" i="72"/>
  <c r="L33" i="102" l="1"/>
  <c r="K33" i="102"/>
  <c r="J33" i="102"/>
  <c r="I33" i="102"/>
  <c r="H33" i="102"/>
  <c r="G33" i="102"/>
  <c r="F33" i="102"/>
  <c r="E33" i="102"/>
  <c r="D33" i="102"/>
  <c r="C33" i="102"/>
  <c r="S22" i="100"/>
  <c r="R22" i="100"/>
  <c r="Q22" i="100"/>
  <c r="P22" i="100"/>
  <c r="O22" i="100"/>
  <c r="N22" i="100"/>
  <c r="M22" i="100"/>
  <c r="L22" i="100"/>
  <c r="K22" i="100"/>
  <c r="J22" i="100"/>
  <c r="I22" i="100"/>
  <c r="H22" i="100"/>
  <c r="G22" i="100"/>
  <c r="F22" i="100"/>
  <c r="E22" i="100"/>
  <c r="D22" i="100"/>
  <c r="C22" i="100"/>
  <c r="S8" i="100"/>
  <c r="R8" i="100"/>
  <c r="Q8" i="100"/>
  <c r="P8" i="100"/>
  <c r="O8" i="100"/>
  <c r="N8" i="100"/>
  <c r="M8" i="100"/>
  <c r="L8" i="100"/>
  <c r="K8" i="100"/>
  <c r="J8" i="100"/>
  <c r="I8" i="100"/>
  <c r="H8" i="100"/>
  <c r="G8" i="100"/>
  <c r="F8" i="100"/>
  <c r="E8" i="100"/>
  <c r="D8" i="100"/>
  <c r="C8" i="100"/>
  <c r="C18" i="99"/>
  <c r="E22" i="96"/>
  <c r="D22" i="96"/>
  <c r="C24" i="96"/>
  <c r="C48" i="28"/>
  <c r="E35" i="72"/>
  <c r="E34" i="72"/>
  <c r="E33" i="72"/>
  <c r="C31" i="72"/>
  <c r="D31" i="72"/>
  <c r="D30" i="72"/>
  <c r="E29" i="72"/>
  <c r="E27" i="72"/>
  <c r="E26" i="72"/>
  <c r="D25" i="72"/>
  <c r="D20" i="72"/>
  <c r="E19" i="72"/>
  <c r="E18" i="72"/>
  <c r="E17" i="72"/>
  <c r="D16" i="72"/>
  <c r="C16" i="72"/>
  <c r="E15" i="72"/>
  <c r="E14" i="72"/>
  <c r="E13" i="72"/>
  <c r="E12" i="72"/>
  <c r="D8" i="72"/>
  <c r="E25" i="72" l="1"/>
  <c r="E35" i="97"/>
  <c r="E16" i="72"/>
  <c r="C25" i="72"/>
  <c r="C28" i="72"/>
  <c r="E30" i="72"/>
  <c r="E28" i="72" s="1"/>
  <c r="D28" i="72"/>
  <c r="E32" i="72"/>
  <c r="E31" i="72" s="1"/>
  <c r="D10" i="98" l="1"/>
  <c r="D7" i="98"/>
  <c r="D15" i="98" l="1"/>
  <c r="G21" i="96"/>
  <c r="F21" i="96"/>
  <c r="C35" i="79" l="1"/>
  <c r="L9" i="103" l="1"/>
  <c r="C34" i="102"/>
  <c r="F35" i="97" l="1"/>
  <c r="C22" i="74" l="1"/>
  <c r="H21" i="74" l="1"/>
  <c r="H20" i="74"/>
  <c r="H19" i="74"/>
  <c r="H18" i="74"/>
  <c r="H17" i="74"/>
  <c r="H16" i="74"/>
  <c r="H15" i="74"/>
  <c r="H14" i="74"/>
  <c r="H13" i="74"/>
  <c r="H12" i="74"/>
  <c r="H11" i="74"/>
  <c r="H10" i="74"/>
  <c r="H9" i="74"/>
  <c r="H8" i="74"/>
  <c r="C31" i="69"/>
  <c r="E36" i="72"/>
  <c r="U15" i="100"/>
  <c r="T15" i="100"/>
  <c r="U22" i="100"/>
  <c r="T22" i="100"/>
  <c r="U8" i="100"/>
  <c r="T8" i="100"/>
  <c r="E13" i="99"/>
  <c r="C19" i="99" l="1"/>
  <c r="C51" i="69" l="1"/>
  <c r="C32" i="69"/>
  <c r="C21" i="69"/>
  <c r="C33" i="69" l="1"/>
  <c r="C24" i="69"/>
  <c r="C30" i="69"/>
  <c r="C25" i="69"/>
  <c r="C28" i="69"/>
  <c r="B1" i="92" l="1"/>
  <c r="B1" i="93"/>
  <c r="B1" i="94"/>
  <c r="B1" i="71"/>
  <c r="B1" i="52"/>
  <c r="B1" i="72"/>
  <c r="B1" i="73"/>
  <c r="B1" i="28"/>
  <c r="B1" i="77"/>
  <c r="B1" i="69"/>
  <c r="B1" i="35"/>
  <c r="B1" i="64"/>
  <c r="B1" i="74"/>
  <c r="B1" i="36"/>
  <c r="B1" i="37"/>
  <c r="B1" i="79"/>
  <c r="B1" i="80"/>
  <c r="B1" i="95"/>
  <c r="B1" i="96"/>
  <c r="B1" i="97"/>
  <c r="B1" i="98"/>
  <c r="B1" i="99"/>
  <c r="B1" i="100"/>
  <c r="B1" i="101"/>
  <c r="B1" i="102"/>
  <c r="B1" i="103"/>
  <c r="B1" i="104"/>
  <c r="B1" i="6"/>
  <c r="B2" i="92"/>
  <c r="B2" i="93"/>
  <c r="B2" i="94"/>
  <c r="B2" i="71"/>
  <c r="B2" i="52"/>
  <c r="B2" i="72"/>
  <c r="B2" i="73"/>
  <c r="B2" i="28"/>
  <c r="B2" i="77"/>
  <c r="B2" i="69"/>
  <c r="B2" i="35"/>
  <c r="B2" i="64"/>
  <c r="B2" i="74"/>
  <c r="B2" i="36"/>
  <c r="B2" i="37"/>
  <c r="B2" i="79"/>
  <c r="B2" i="80"/>
  <c r="B2" i="95"/>
  <c r="B2" i="96"/>
  <c r="B2" i="97"/>
  <c r="B2" i="98"/>
  <c r="B2" i="99"/>
  <c r="B2" i="100"/>
  <c r="B2" i="101"/>
  <c r="B2" i="102"/>
  <c r="B2" i="103"/>
  <c r="B2" i="104"/>
  <c r="B2" i="6"/>
  <c r="C22" i="95" l="1"/>
  <c r="H21" i="95"/>
  <c r="C7" i="98" l="1"/>
  <c r="C10" i="98"/>
  <c r="I33" i="97"/>
  <c r="C34" i="97"/>
  <c r="C35" i="97" s="1"/>
  <c r="D34" i="97"/>
  <c r="E34" i="97"/>
  <c r="F34" i="97"/>
  <c r="G34" i="97"/>
  <c r="H22" i="96"/>
  <c r="H23" i="96"/>
  <c r="H8" i="95"/>
  <c r="H9" i="95"/>
  <c r="H10" i="95"/>
  <c r="H11" i="95"/>
  <c r="H12" i="95"/>
  <c r="H13" i="95"/>
  <c r="H14" i="95"/>
  <c r="H15" i="95"/>
  <c r="H16" i="95"/>
  <c r="H17" i="95"/>
  <c r="H18" i="95"/>
  <c r="H19" i="95"/>
  <c r="H20" i="95"/>
  <c r="D22" i="95"/>
  <c r="E22" i="95"/>
  <c r="F22" i="95"/>
  <c r="G22" i="95"/>
  <c r="I12" i="96" l="1"/>
  <c r="H22" i="95"/>
  <c r="H23" i="95" s="1"/>
  <c r="C15" i="98"/>
  <c r="C16" i="98" s="1"/>
  <c r="H34" i="97"/>
  <c r="C62" i="69"/>
  <c r="C58" i="69"/>
  <c r="C46" i="69"/>
  <c r="C40" i="69"/>
  <c r="C29" i="69"/>
  <c r="C26" i="69"/>
  <c r="C23" i="69"/>
  <c r="C18" i="69"/>
  <c r="C14" i="69"/>
  <c r="C6" i="69"/>
  <c r="C35" i="69" l="1"/>
  <c r="C69" i="69" s="1"/>
  <c r="D21" i="96"/>
  <c r="D37" i="72"/>
  <c r="C52" i="69"/>
  <c r="H21" i="96" l="1"/>
  <c r="C68" i="69"/>
  <c r="G37" i="80"/>
  <c r="G21" i="80"/>
  <c r="H25" i="96" l="1"/>
  <c r="H35" i="97"/>
  <c r="G39" i="80"/>
  <c r="G6" i="71"/>
  <c r="G13" i="71" s="1"/>
  <c r="F6" i="71"/>
  <c r="F13" i="71" s="1"/>
  <c r="E6" i="71"/>
  <c r="E13" i="71" s="1"/>
  <c r="D6" i="71"/>
  <c r="D13" i="71" s="1"/>
  <c r="C6" i="71"/>
  <c r="C13" i="71" s="1"/>
  <c r="C14" i="71" s="1"/>
  <c r="C21" i="77" l="1"/>
  <c r="D16" i="77"/>
  <c r="D17" i="77"/>
  <c r="D15" i="77"/>
  <c r="D12" i="77"/>
  <c r="D13" i="77"/>
  <c r="D11" i="77"/>
  <c r="D8" i="77"/>
  <c r="D9" i="77"/>
  <c r="D7" i="77"/>
  <c r="C20" i="77"/>
  <c r="C19" i="77"/>
  <c r="D21" i="77" l="1"/>
  <c r="E21" i="77" s="1"/>
  <c r="D19" i="77"/>
  <c r="E19" i="77" s="1"/>
  <c r="D20" i="77"/>
  <c r="E20" i="77" s="1"/>
  <c r="C30" i="79"/>
  <c r="C26" i="79"/>
  <c r="C8" i="79"/>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L21" i="37" s="1"/>
  <c r="J7" i="37"/>
  <c r="I7" i="37"/>
  <c r="I21" i="37" s="1"/>
  <c r="H7" i="37"/>
  <c r="H21" i="37" s="1"/>
  <c r="G7" i="37"/>
  <c r="G21" i="37" s="1"/>
  <c r="F7" i="37"/>
  <c r="C7" i="37"/>
  <c r="M21" i="37" l="1"/>
  <c r="J21" i="37"/>
  <c r="F21" i="37"/>
  <c r="N14" i="37"/>
  <c r="E14" i="37"/>
  <c r="E7" i="37"/>
  <c r="C21" i="37"/>
  <c r="N8" i="37"/>
  <c r="E21" i="37" l="1"/>
  <c r="C12" i="79" s="1"/>
  <c r="C18" i="79" s="1"/>
  <c r="C36" i="79" s="1"/>
  <c r="C38" i="79" s="1"/>
  <c r="N7" i="37"/>
  <c r="N21" i="37" s="1"/>
  <c r="K7" i="37"/>
  <c r="K21" i="37" s="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G23" i="74" l="1"/>
  <c r="V7" i="64"/>
  <c r="T21" i="64" l="1"/>
  <c r="U21" i="64"/>
  <c r="V9" i="64"/>
  <c r="D22" i="74" l="1"/>
  <c r="E22" i="74"/>
  <c r="H22" i="74"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53" i="28" l="1"/>
  <c r="C6" i="28" l="1"/>
  <c r="C29" i="28" s="1"/>
  <c r="C55" i="28" l="1"/>
  <c r="E29" i="28"/>
  <c r="C5" i="6"/>
  <c r="F5" i="6"/>
  <c r="G5" i="71"/>
  <c r="E5" i="6"/>
  <c r="J5" i="6" s="1"/>
  <c r="D5" i="6"/>
  <c r="I5" i="6" s="1"/>
  <c r="G5" i="6"/>
  <c r="C5" i="71" l="1"/>
  <c r="E5" i="71"/>
  <c r="F5" i="71"/>
  <c r="D5" i="71"/>
  <c r="E23" i="72" l="1"/>
  <c r="E11" i="72"/>
  <c r="E9" i="72" l="1"/>
  <c r="E10" i="72"/>
  <c r="E22" i="72" l="1"/>
  <c r="E20" i="72" s="1"/>
  <c r="C20" i="72"/>
  <c r="E8" i="72"/>
  <c r="E37" i="72" s="1"/>
  <c r="C5" i="73" s="1"/>
  <c r="C8" i="73" s="1"/>
  <c r="C13" i="73" s="1"/>
  <c r="C8" i="72"/>
  <c r="C37" i="72" s="1"/>
  <c r="H24" i="96" s="1"/>
  <c r="C38" i="72" l="1"/>
</calcChain>
</file>

<file path=xl/sharedStrings.xml><?xml version="1.0" encoding="utf-8"?>
<sst xmlns="http://schemas.openxmlformats.org/spreadsheetml/2006/main" count="1591" uniqueCount="988">
  <si>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</si>
  <si>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</si>
  <si>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</si>
  <si>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</si>
  <si>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</si>
  <si>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</si>
  <si>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</si>
  <si>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</si>
  <si>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</si>
  <si>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</si>
  <si>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</si>
  <si>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</si>
  <si>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</si>
  <si>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</si>
  <si>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</si>
  <si>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</si>
  <si>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</si>
  <si>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</si>
  <si>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</si>
  <si>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</si>
  <si>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</si>
  <si>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</si>
  <si>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</si>
  <si>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</si>
  <si>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</si>
  <si>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</si>
  <si>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</si>
  <si>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</si>
  <si>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</si>
  <si>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</si>
  <si>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</si>
  <si>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</si>
  <si>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</si>
  <si>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</si>
  <si>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</si>
  <si>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</si>
  <si>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</si>
  <si>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</si>
  <si>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</si>
  <si>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</si>
  <si>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</si>
  <si>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</si>
  <si>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</si>
  <si>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</si>
  <si>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</si>
  <si>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</si>
  <si>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</si>
  <si>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</si>
  <si>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</si>
  <si>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</si>
  <si>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</si>
  <si>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</si>
  <si>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</si>
  <si>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</si>
  <si>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</si>
  <si>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</si>
  <si>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</si>
  <si>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</si>
  <si>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</si>
  <si>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</si>
  <si>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</si>
  <si>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</si>
  <si>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</si>
  <si>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</si>
  <si>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</si>
  <si>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</si>
  <si>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</si>
  <si>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</si>
  <si>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</si>
  <si>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</si>
  <si>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</si>
  <si>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</si>
  <si>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</si>
  <si>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</si>
  <si>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</si>
  <si>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</si>
  <si>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</si>
  <si>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</si>
  <si>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</si>
  <si>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</si>
  <si>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</si>
  <si>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</si>
  <si>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</si>
  <si>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</si>
  <si>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</si>
  <si>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</si>
  <si>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</si>
  <si>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</si>
  <si>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</si>
  <si>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</si>
  <si>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</si>
  <si>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</si>
  <si>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</si>
  <si>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</si>
  <si>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</si>
  <si>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</si>
  <si>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</si>
  <si>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</si>
  <si>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</si>
  <si>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</si>
  <si>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</si>
  <si>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</si>
  <si>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</si>
  <si>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</si>
  <si>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</si>
  <si>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</si>
  <si>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</si>
  <si>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</si>
  <si>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</si>
  <si>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</si>
  <si>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</si>
  <si>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</si>
  <si>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</si>
  <si>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</si>
  <si>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</si>
  <si>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</si>
  <si>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</si>
  <si>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</si>
  <si>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</si>
  <si>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</si>
  <si>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</si>
  <si>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</si>
  <si>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</si>
  <si>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</si>
  <si>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</si>
  <si>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</si>
  <si>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</si>
  <si>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</si>
  <si>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</si>
  <si>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</si>
  <si>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</si>
  <si>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</si>
  <si>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</si>
  <si>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</si>
  <si>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</si>
  <si>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</si>
  <si>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</si>
  <si>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</si>
  <si>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</si>
  <si>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</si>
  <si>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</si>
  <si>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</si>
  <si>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</si>
  <si>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</si>
  <si>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</si>
  <si>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</si>
  <si>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</si>
  <si>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</si>
  <si>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</si>
  <si>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</si>
  <si>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</si>
  <si>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</si>
  <si>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</si>
  <si>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</si>
  <si>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</si>
  <si>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</si>
  <si>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</si>
  <si>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</si>
  <si>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</si>
  <si>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</si>
  <si>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</si>
  <si>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</si>
  <si>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</si>
  <si>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</si>
  <si>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</si>
  <si>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</si>
  <si>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</si>
  <si>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</si>
  <si>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</si>
  <si>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</si>
  <si>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</si>
  <si>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</si>
  <si>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</si>
  <si>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</si>
  <si>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</si>
  <si>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</si>
  <si>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</si>
  <si>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</si>
  <si>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</si>
  <si>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</si>
  <si>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</si>
  <si>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</si>
  <si>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</si>
  <si>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</si>
  <si>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</si>
  <si>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</si>
  <si>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</si>
  <si>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</si>
  <si>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</si>
  <si>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</si>
  <si>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</si>
  <si>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</si>
  <si>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</si>
  <si>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</si>
  <si>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</si>
  <si>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</si>
  <si>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</si>
  <si>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</si>
  <si>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</si>
  <si>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</si>
  <si>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</si>
  <si>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</si>
  <si>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</si>
  <si>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</si>
  <si>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</si>
  <si>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</si>
  <si>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</si>
  <si>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</si>
  <si>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</si>
  <si>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</si>
  <si>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</si>
  <si>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</si>
  <si>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</si>
  <si>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</si>
  <si>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</si>
  <si>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</si>
  <si>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</si>
  <si>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</si>
  <si>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</si>
  <si>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</si>
  <si>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</si>
  <si>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</si>
  <si>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</si>
  <si>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</si>
  <si>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</si>
  <si>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</si>
  <si>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</si>
  <si>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</si>
  <si>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</si>
  <si>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</si>
  <si>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</si>
  <si>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</si>
  <si>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</si>
  <si>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</si>
  <si>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</si>
  <si>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</si>
  <si>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</si>
  <si>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</si>
  <si>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</si>
  <si>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</si>
  <si>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</si>
  <si>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</si>
  <si>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</si>
  <si>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</si>
  <si>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</si>
  <si>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</si>
  <si>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</si>
  <si>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</si>
  <si>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</si>
  <si>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</si>
  <si>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</si>
  <si>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</si>
  <si>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</si>
  <si>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</si>
  <si>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</si>
  <si>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</si>
  <si>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</si>
  <si>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</si>
  <si>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</si>
  <si>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</si>
  <si>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</si>
  <si>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</si>
  <si>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</si>
  <si>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</si>
  <si>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</si>
  <si>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</si>
  <si>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</si>
  <si>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</si>
  <si>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</si>
  <si>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</si>
  <si>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</si>
  <si>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</si>
  <si>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</si>
  <si>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</si>
  <si>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</si>
  <si>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</si>
  <si>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</si>
  <si>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</si>
  <si>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</si>
  <si>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</si>
  <si>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</si>
  <si>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</si>
  <si>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</si>
  <si>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</si>
  <si>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</si>
  <si>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</si>
  <si>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</si>
  <si>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</si>
  <si>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</si>
  <si>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</si>
  <si>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</si>
  <si>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</si>
  <si>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</si>
  <si>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</si>
  <si>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</si>
  <si>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</si>
  <si>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</si>
  <si>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</si>
  <si>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</si>
  <si>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</si>
  <si>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</si>
  <si>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</si>
  <si>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</si>
  <si>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</si>
  <si>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</si>
  <si>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</si>
  <si>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</si>
  <si>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</si>
  <si>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</si>
  <si>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</si>
  <si>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</si>
  <si>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</si>
  <si>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</si>
  <si>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</si>
  <si>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</si>
  <si>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</si>
  <si>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</si>
  <si>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</si>
  <si>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</si>
  <si>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</si>
  <si>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</si>
  <si>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</si>
  <si>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</si>
  <si>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</si>
  <si>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</si>
  <si>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</si>
  <si>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</si>
  <si>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</si>
  <si>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</si>
  <si>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</si>
  <si>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</si>
  <si>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</si>
  <si>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</si>
  <si>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</si>
  <si>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</si>
  <si>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</si>
  <si>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</si>
  <si>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</si>
  <si>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</si>
  <si>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</si>
  <si>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</si>
  <si>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</si>
  <si>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</si>
  <si>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</si>
  <si>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</si>
  <si>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</si>
  <si>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</si>
  <si>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</si>
  <si>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</si>
  <si>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</si>
  <si>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</si>
  <si>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</si>
  <si>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</si>
  <si>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</si>
  <si>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</si>
  <si>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</si>
  <si>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</si>
  <si>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</si>
  <si>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</si>
  <si>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</si>
  <si>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</si>
  <si>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</si>
  <si>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</si>
  <si>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</si>
  <si>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</si>
  <si>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</si>
  <si>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</si>
  <si>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</si>
  <si>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</si>
  <si>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</si>
  <si>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</si>
  <si>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</si>
  <si>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</si>
  <si>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</si>
  <si>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</si>
  <si>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</si>
  <si>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</si>
  <si>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</si>
  <si>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</si>
  <si>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</si>
  <si>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</si>
  <si>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</si>
  <si>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</si>
  <si>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</si>
  <si>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</si>
  <si>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</si>
  <si>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</si>
  <si>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</si>
  <si>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</si>
  <si>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</si>
  <si>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</si>
  <si>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</si>
  <si>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</si>
  <si>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</si>
  <si>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</si>
  <si>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</si>
  <si>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</si>
  <si>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</si>
  <si>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</si>
  <si>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</si>
  <si>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</si>
  <si>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</si>
  <si>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</si>
  <si>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</si>
  <si>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</si>
  <si>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</si>
  <si>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</si>
  <si>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</si>
  <si>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</si>
  <si>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</si>
  <si>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</si>
  <si>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</si>
  <si>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</si>
  <si>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</si>
  <si>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</si>
  <si>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</si>
  <si>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</si>
  <si>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</si>
  <si>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</si>
  <si>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</si>
  <si>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</si>
  <si>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</si>
  <si>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</si>
  <si>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</si>
  <si>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</si>
  <si>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</si>
  <si>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</si>
  <si>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</si>
  <si>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</si>
  <si>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</si>
  <si>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</si>
  <si>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</si>
  <si>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</si>
  <si>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</si>
  <si>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</si>
  <si>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</si>
  <si>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</si>
  <si>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</si>
  <si>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</si>
  <si>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</si>
  <si>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</si>
  <si>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</si>
  <si>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</si>
  <si>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</si>
  <si>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</si>
  <si>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</si>
  <si>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</si>
  <si>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</si>
  <si>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</si>
  <si>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</si>
  <si>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</si>
  <si>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</si>
  <si>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</si>
  <si>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</si>
  <si>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</si>
  <si>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</si>
  <si>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</si>
  <si>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</si>
  <si>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</si>
  <si>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</si>
  <si>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</si>
  <si>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</si>
  <si>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</si>
  <si>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</si>
  <si>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</si>
  <si>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</si>
  <si>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</si>
  <si>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</si>
  <si>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</si>
  <si>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</si>
  <si>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</si>
  <si>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</si>
  <si>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</si>
  <si>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</si>
  <si>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</si>
  <si>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</si>
  <si>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</si>
  <si>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</si>
  <si>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</si>
  <si>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</si>
  <si>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</si>
  <si>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</si>
  <si>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</si>
  <si>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</si>
  <si>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</si>
  <si>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</si>
  <si>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</si>
  <si>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</si>
  <si>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</si>
  <si>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</si>
  <si>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</si>
  <si>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</si>
  <si>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</si>
  <si>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</si>
  <si>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</si>
  <si>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</si>
  <si>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</si>
  <si>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</si>
  <si>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</si>
  <si>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</si>
  <si>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</si>
  <si>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</si>
  <si>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</si>
  <si>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</si>
  <si>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</si>
  <si>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</si>
  <si>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</si>
  <si>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</si>
  <si>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</si>
  <si>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</si>
  <si>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</si>
  <si>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</si>
  <si>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</si>
  <si>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</si>
  <si>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</si>
  <si>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</si>
  <si>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</si>
  <si>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</si>
  <si>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</si>
  <si>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</si>
  <si>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</si>
  <si>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</si>
  <si>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</si>
  <si>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</si>
  <si>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</si>
  <si>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</si>
  <si>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</si>
  <si>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</si>
  <si>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</si>
  <si>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</si>
  <si>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</si>
  <si>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</si>
  <si>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</si>
  <si>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</si>
  <si>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</si>
  <si>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</si>
  <si>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</si>
  <si>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</si>
  <si>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</si>
  <si>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</si>
  <si>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</si>
  <si>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</si>
  <si>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</si>
  <si>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</si>
  <si>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</si>
  <si>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</si>
  <si>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</si>
  <si>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</si>
  <si>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</si>
  <si>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</si>
  <si>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</si>
  <si>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</si>
  <si>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</si>
  <si>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</si>
  <si>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</si>
  <si>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</si>
  <si>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</si>
  <si>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</si>
  <si>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</si>
  <si>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</si>
  <si>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</si>
  <si>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</si>
  <si>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</si>
  <si>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</si>
  <si>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</si>
  <si>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</si>
  <si>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</si>
  <si>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</si>
  <si>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</si>
  <si>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</si>
  <si>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</si>
  <si>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</si>
  <si>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</si>
  <si>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</si>
  <si>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</si>
  <si>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</si>
  <si>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</si>
  <si>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</si>
  <si>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</si>
  <si>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</si>
  <si>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</si>
  <si>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</si>
  <si>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</si>
  <si>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</si>
  <si>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</si>
  <si>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</si>
  <si>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</si>
  <si>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</si>
  <si>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</si>
  <si>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</si>
  <si>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</si>
  <si>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</si>
  <si>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</si>
  <si>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</si>
  <si>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</si>
  <si>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</si>
  <si>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</si>
  <si>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</si>
  <si>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</si>
  <si>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</si>
  <si>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</si>
  <si>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</si>
  <si>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</si>
  <si>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</si>
  <si>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</si>
  <si>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</si>
  <si>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</si>
  <si>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</si>
  <si>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</si>
  <si>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</si>
  <si>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</si>
  <si>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</si>
  <si>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</si>
  <si>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</si>
  <si>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</si>
  <si>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</si>
  <si>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</si>
  <si>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</si>
  <si>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</si>
  <si>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</si>
  <si>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</si>
  <si>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</si>
  <si>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</si>
  <si>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</si>
  <si>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</si>
  <si>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</si>
  <si>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</si>
  <si>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</si>
  <si>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</si>
  <si>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</si>
  <si>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</si>
  <si>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</si>
  <si>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</si>
  <si>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</si>
  <si>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</si>
  <si>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</si>
  <si>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</si>
  <si>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</si>
  <si>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</si>
  <si>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</si>
  <si>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</si>
  <si>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</si>
  <si>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</si>
  <si>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</si>
  <si>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</si>
  <si>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</si>
  <si>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</si>
  <si>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</si>
  <si>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</si>
  <si>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</si>
  <si>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</si>
  <si>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</si>
  <si>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</si>
  <si>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</si>
  <si>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</si>
  <si>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</si>
  <si>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</si>
  <si>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</si>
  <si>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</si>
  <si>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</si>
  <si>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</si>
  <si>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</si>
  <si>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</si>
  <si>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</si>
  <si>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</si>
  <si>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</si>
  <si>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</si>
  <si>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</si>
  <si>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</si>
  <si>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</si>
  <si>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</si>
  <si>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</si>
  <si>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</si>
  <si>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</si>
  <si>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</si>
  <si>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</si>
  <si>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</si>
  <si>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</si>
  <si>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</si>
  <si>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</si>
  <si>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</si>
  <si>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</si>
  <si>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</si>
  <si>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</si>
  <si>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</si>
  <si>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</si>
  <si>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</si>
  <si>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</si>
  <si>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</si>
  <si>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</si>
  <si>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</si>
  <si>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</si>
  <si>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</si>
  <si>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</si>
  <si>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</si>
  <si>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</si>
  <si>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</si>
  <si>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</si>
  <si>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</si>
  <si>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</si>
  <si>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</si>
  <si>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</si>
  <si>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</si>
  <si>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</si>
  <si>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</si>
  <si>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</si>
  <si>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</si>
  <si>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</si>
  <si>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</si>
  <si>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</si>
  <si>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</si>
  <si>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</si>
  <si>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</si>
  <si>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</si>
  <si>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</si>
  <si>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</si>
  <si>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</si>
  <si>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</si>
  <si>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</si>
  <si>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</si>
  <si>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</si>
  <si>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</si>
  <si>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</si>
  <si>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</si>
  <si>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</si>
  <si>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</si>
  <si>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</si>
  <si>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</si>
  <si>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</si>
  <si>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</si>
  <si>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</si>
  <si>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</si>
  <si>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</si>
  <si>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</si>
  <si>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</si>
  <si>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</si>
  <si>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</si>
  <si>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</si>
  <si>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</si>
  <si>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</si>
  <si>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</si>
  <si>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</si>
  <si>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</si>
  <si>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</si>
  <si>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</si>
  <si>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</si>
  <si>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</si>
  <si>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</si>
  <si>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</si>
  <si>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</si>
  <si>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</si>
  <si>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</si>
  <si>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</si>
  <si>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</si>
  <si>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</si>
  <si>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</si>
  <si>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</si>
  <si>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</si>
  <si>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</si>
  <si>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</si>
  <si>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</si>
  <si>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</si>
  <si>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</si>
  <si>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</si>
  <si>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</si>
  <si>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</si>
  <si>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</si>
  <si>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</si>
  <si>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</si>
  <si>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</si>
  <si>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</si>
  <si>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</si>
  <si>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</si>
  <si>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</si>
  <si>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</si>
  <si>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</si>
  <si>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</si>
  <si>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</si>
  <si>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</si>
  <si>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</si>
  <si>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</si>
  <si>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</si>
  <si>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</si>
  <si>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</si>
  <si>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</si>
  <si>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</si>
  <si>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</si>
  <si>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</si>
  <si>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</si>
  <si>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</si>
  <si>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</si>
  <si>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</si>
  <si>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</si>
  <si>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</si>
  <si>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</si>
  <si>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</si>
  <si>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</si>
  <si>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</si>
  <si>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</si>
  <si>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</si>
  <si>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</si>
  <si>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</si>
  <si>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</si>
  <si>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</si>
  <si>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</si>
  <si>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</si>
  <si>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</si>
  <si>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</si>
  <si>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</si>
  <si>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</si>
  <si>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</si>
  <si>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</si>
  <si>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</si>
  <si>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</si>
  <si>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</si>
  <si>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</si>
  <si>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</si>
  <si>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</si>
  <si>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</si>
  <si>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</si>
  <si>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</si>
  <si>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</si>
  <si>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</si>
  <si>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</si>
  <si>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</si>
  <si>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</si>
  <si>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</si>
  <si>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</si>
  <si>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</si>
  <si>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</si>
  <si>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</si>
  <si>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</si>
  <si>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</si>
  <si>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</si>
  <si>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</si>
  <si>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</si>
  <si>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</si>
  <si>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</si>
  <si>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</si>
  <si>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</si>
  <si>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</si>
  <si>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</si>
  <si>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</si>
  <si>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</si>
  <si>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</si>
  <si>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</si>
  <si>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</si>
  <si>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</si>
  <si>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</si>
  <si>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</si>
  <si>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</si>
  <si>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</si>
  <si>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</si>
  <si>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</si>
  <si>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</si>
  <si>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</si>
  <si>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</si>
  <si>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</si>
  <si>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</si>
  <si>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</si>
  <si>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</si>
  <si>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</si>
  <si>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</si>
  <si>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</si>
  <si>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</si>
  <si>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</si>
  <si>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</si>
  <si>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</si>
  <si>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</si>
  <si>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</si>
  <si>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</si>
  <si>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</si>
  <si>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</si>
  <si>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</si>
  <si>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</si>
  <si>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</si>
  <si>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</si>
  <si>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</si>
  <si>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</si>
  <si>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</si>
  <si>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</si>
  <si>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</si>
  <si>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</si>
  <si>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</si>
  <si>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</si>
  <si>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</si>
  <si>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</si>
  <si>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</si>
  <si>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</si>
  <si>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</si>
  <si>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</si>
  <si>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</si>
  <si>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</si>
  <si>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</si>
  <si>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</si>
  <si>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</si>
  <si>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</si>
  <si>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</si>
  <si>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</si>
  <si>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</si>
  <si>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</si>
  <si>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</si>
  <si>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</si>
  <si>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</si>
  <si>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</si>
  <si>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</si>
  <si>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</si>
  <si>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</si>
  <si>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</si>
  <si>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</si>
  <si>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</si>
  <si>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</si>
  <si>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</si>
  <si>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</si>
  <si>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</si>
  <si>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</si>
  <si>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</si>
  <si>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</si>
  <si>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</si>
  <si>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</si>
  <si>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</si>
  <si>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</si>
  <si>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</si>
  <si>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</si>
  <si>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</si>
  <si>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</si>
  <si>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</si>
  <si>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</si>
  <si>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</si>
  <si>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</si>
  <si>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</si>
  <si>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</si>
  <si>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</si>
  <si>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</si>
  <si>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</si>
  <si>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</si>
  <si>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</si>
  <si>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</si>
  <si>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</si>
  <si>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</si>
  <si>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</si>
  <si>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</si>
  <si>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</si>
  <si>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</si>
  <si>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</si>
  <si>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</si>
  <si>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</si>
  <si>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</si>
  <si>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</si>
  <si>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</si>
  <si>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</si>
  <si>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</si>
  <si>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</si>
  <si>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</si>
  <si>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</si>
  <si>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</si>
  <si>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</si>
  <si>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</si>
  <si>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</si>
  <si>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</si>
  <si>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JSC "VTB Bank (Georgia)"</t>
  </si>
  <si>
    <t>Sergey Stepanov</t>
  </si>
  <si>
    <t>Archil Kontselidze</t>
  </si>
  <si>
    <t>https://vtb.ge/</t>
  </si>
  <si>
    <t>სერგეი სტეპანოვი</t>
  </si>
  <si>
    <t>არადამოუკიდებელი თავმჯდომარე</t>
  </si>
  <si>
    <t>ილნარ შაიმარდანოვი</t>
  </si>
  <si>
    <t>არადამოუკიდებელ წევრი</t>
  </si>
  <si>
    <t>ასია ზახაროვა</t>
  </si>
  <si>
    <t>არჩილ კონცელიძე</t>
  </si>
  <si>
    <t>გენერალური დირექტორი</t>
  </si>
  <si>
    <t>მამუკა მენთეშაშვილი</t>
  </si>
  <si>
    <t>ფინანსური დირექტორი</t>
  </si>
  <si>
    <t>ნიკო ჩხეტიანი</t>
  </si>
  <si>
    <t>რისკების დირექტორი</t>
  </si>
  <si>
    <t>ნათია თხილაიშვილი</t>
  </si>
  <si>
    <t>საცალო ბიზნესის დირექტორი</t>
  </si>
  <si>
    <t>ვლადიმერ რობაქიძე</t>
  </si>
  <si>
    <t>კორპორატიული ბიზნესის დირექტორი</t>
  </si>
  <si>
    <t>ირაკლი დოლიძე</t>
  </si>
  <si>
    <t>საოპერაციო დირექტორი</t>
  </si>
  <si>
    <t>სსს "ვეტებე ბანკი"</t>
  </si>
  <si>
    <t>შპს "ლაკარპა ენტერპრაიზის ლიმიტედი"</t>
  </si>
  <si>
    <t>რუსეთის ფედერაცია</t>
  </si>
  <si>
    <t xml:space="preserve">
</t>
  </si>
  <si>
    <t xml:space="preserve">"საქართველოს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 </t>
  </si>
  <si>
    <t/>
  </si>
  <si>
    <t>სვეტლანა კარალიოვა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</si>
</sst>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41" formatCode="_(* #,##0_);_(* \(#,##0\);_(* &quot;-&quot;_);_(@_)"/>
    <numFmt numFmtId="43" formatCode="_(* #,##0.00_);_(* \(#,##0.00\);_(* &quot;-&quot;??_);_(@_)"/>
    <numFmt numFmtId="164" formatCode="&quot;$&quot;#,##0.00_);[Red]\(&quot;$&quot;#,##0.00\)"/>
    <numFmt numFmtId="165" formatCode="_(&quot;$&quot;* #,##0_);_(&quot;$&quot;* \(#,##0\);_(&quot;$&quot;* &quot;-&quot;_);_(@_)"/>
    <numFmt numFmtId="166" formatCode="_(&quot;$&quot;* #,##0.00_);_(&quot;$&quot;* \(#,##0.00\);_(&quot;$&quot;* &quot;-&quot;??_);_(@_)"/>
    <numFmt numFmtId="167" formatCode="_(* #,##0_);_(* \(#,##0\);_(* &quot;-&quot;??_);_(@_)"/>
    <numFmt numFmtId="168" formatCode="0.0%"/>
    <numFmt numFmtId="169" formatCode="_-* #,##0.00_-;\-* #,##0.00_-;_-* &quot;-&quot;??_-;_-@_-"/>
    <numFmt numFmtId="170" formatCode="_(#,##0_);_(\(#,##0\);_(\ \-\ _);_(@_)"/>
    <numFmt numFmtId="171" formatCode="[$-409]dd\-mmm\-yy;@"/>
    <numFmt numFmtId="172" formatCode="[$-409]mmm\-yy;@"/>
    <numFmt numFmtId="173" formatCode="_ * #,##0.00_)&quot;F&quot;_ ;_ * \(#,##0.00\)&quot;F&quot;_ ;_ * &quot;-&quot;??_)&quot;F&quot;_ ;_ @_ "/>
    <numFmt numFmtId="174" formatCode="_(* #,##0.0_);_(* \(#,##0.00\);_(* &quot;-&quot;??_);_(@_)"/>
    <numFmt numFmtId="175" formatCode="General_)"/>
    <numFmt numFmtId="176" formatCode="0.000"/>
    <numFmt numFmtId="177" formatCode="&quot;fl&quot;#,##0_);\(&quot;fl&quot;#,##0\)"/>
    <numFmt numFmtId="178" formatCode="&quot;fl&quot;#,##0_);[Red]\(&quot;fl&quot;#,##0\)"/>
    <numFmt numFmtId="179" formatCode="&quot;fl&quot;#,##0.00_);\(&quot;fl&quot;#,##0.00\)"/>
    <numFmt numFmtId="180" formatCode="_-* #,##0.00_$_-;\-* #,##0.00_$_-;_-* &quot;-&quot;??_$_-;_-@_-"/>
    <numFmt numFmtId="181" formatCode="_-* #,##0.00\ _L_a_r_i_-;\-* #,##0.00\ _L_a_r_i_-;_-* &quot;-&quot;??\ _L_a_r_i_-;_-@_-"/>
    <numFmt numFmtId="182" formatCode="[$-409]d\-mmm\-yy;@"/>
    <numFmt numFmtId="183" formatCode="_-* #,##0.00\ _D_M_-;\-* #,##0.00\ _D_M_-;_-* &quot;-&quot;??\ _D_M_-;_-@_-"/>
    <numFmt numFmtId="184" formatCode="&quot;balance  &quot;[$-409]d\-mmm\-yy;@"/>
    <numFmt numFmtId="185" formatCode="mmmm\-yy"/>
    <numFmt numFmtId="186" formatCode="_-* #,##0_ð_._-;\-* #,##0_ð_._-;_-* &quot;-&quot;_ð_._-;_-@_-"/>
    <numFmt numFmtId="187" formatCode="_-* #,##0.00_ð_._-;\-* #,##0.00_ð_._-;_-* &quot;-&quot;??_ð_._-;_-@_-"/>
    <numFmt numFmtId="188" formatCode="&quot;See Note &quot;\ #"/>
    <numFmt numFmtId="189" formatCode="\60\4\7\:"/>
    <numFmt numFmtId="190" formatCode="&quot;p.&quot;#,##0.00;[Red]\-&quot;p.&quot;#,##0.00"/>
    <numFmt numFmtId="191" formatCode="0.00000"/>
    <numFmt numFmtId="192" formatCode="&quot;fl&quot;#,##0.00_);[Red]\(&quot;fl&quot;#,##0.00\)"/>
    <numFmt numFmtId="193" formatCode="_(&quot;fl&quot;* #,##0_);_(&quot;fl&quot;* \(#,##0\);_(&quot;fl&quot;* &quot;-&quot;_);_(@_)"/>
    <numFmt numFmtId="194" formatCode="&quot;Fr.&quot;\ #,##0;[Red]&quot;Fr.&quot;\ \-#,##0"/>
    <numFmt numFmtId="195" formatCode="_(&quot;¤&quot;* #,##0.00_);_(&quot;¤&quot;* \(#,##0.00\);_(&quot;¤&quot;* &quot;-&quot;??_);_(@_)"/>
    <numFmt numFmtId="196" formatCode="#,##0_ ;[Red]\-#,##0\ "/>
    <numFmt numFmtId="197" formatCode="0.000%"/>
  </numFmts>
  <fonts count="146">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sz val="10"/>
      <color theme="1"/>
      <name val="Arial"/>
      <family val="2"/>
    </font>
    <font>
      <sz val="11"/>
      <color theme="1"/>
      <name val="Arial"/>
      <family val="2"/>
    </font>
    <font>
      <sz val="9"/>
      <color rgb="FFFF0000"/>
      <name val="Sylfaen"/>
      <family val="1"/>
    </font>
    <font>
      <b/>
      <sz val="6"/>
      <color theme="1"/>
      <name val="Calibri"/>
      <family val="2"/>
      <scheme val="minor"/>
    </font>
    <font>
      <sz val="9"/>
      <color rgb="FFFF0000"/>
      <name val="Calibri"/>
      <family val="1"/>
      <scheme val="minor"/>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s>
  <borders count="17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186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9"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71" fontId="25" fillId="37" borderId="0"/>
    <xf numFmtId="172" fontId="25" fillId="37" borderId="0"/>
    <xf numFmtId="171" fontId="25" fillId="37" borderId="0"/>
    <xf numFmtId="0" fontId="26" fillId="38" borderId="0" applyNumberFormat="0" applyBorder="0" applyAlignment="0" applyProtection="0"/>
    <xf numFmtId="0" fontId="4" fillId="13"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0" fontId="31" fillId="39" borderId="0" applyNumberFormat="0" applyBorder="0" applyAlignment="0" applyProtection="0"/>
    <xf numFmtId="173" fontId="34"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4" fontId="36" fillId="0" borderId="0" applyFill="0" applyBorder="0" applyAlignment="0"/>
    <xf numFmtId="174" fontId="36"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5" fontId="36"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2"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40" fillId="65" borderId="39" applyNumberFormat="0" applyAlignment="0" applyProtection="0"/>
    <xf numFmtId="0" fontId="41" fillId="10" borderId="34"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0" fontId="40"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0" fontId="41" fillId="10" borderId="34"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0" fontId="40" fillId="65"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4"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80" fontId="1" fillId="0" borderId="0" applyFont="0" applyFill="0" applyBorder="0" applyAlignment="0" applyProtection="0"/>
    <xf numFmtId="18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 fillId="0" borderId="0" applyFont="0" applyFill="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5" fontId="36"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44" fillId="0" borderId="0"/>
    <xf numFmtId="14" fontId="45" fillId="0" borderId="0" applyFill="0" applyBorder="0" applyAlignment="0"/>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0" applyFont="0" applyFill="0" applyBorder="0" applyAlignment="0" applyProtection="0"/>
    <xf numFmtId="183"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171"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0" fontId="47" fillId="0" borderId="0" applyNumberFormat="0" applyFill="0" applyBorder="0" applyAlignment="0" applyProtection="0"/>
    <xf numFmtId="171" fontId="2" fillId="0" borderId="0"/>
    <xf numFmtId="0" fontId="2" fillId="0" borderId="0"/>
    <xf numFmtId="171"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71"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71" fontId="53" fillId="0" borderId="9">
      <alignment horizontal="left" vertical="center"/>
    </xf>
    <xf numFmtId="0" fontId="54" fillId="0" borderId="41" applyNumberFormat="0" applyFill="0" applyAlignment="0" applyProtection="0"/>
    <xf numFmtId="172" fontId="54" fillId="0" borderId="41" applyNumberFormat="0" applyFill="0" applyAlignment="0" applyProtection="0"/>
    <xf numFmtId="0"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72" fontId="55" fillId="0" borderId="42" applyNumberFormat="0" applyFill="0" applyAlignment="0" applyProtection="0"/>
    <xf numFmtId="0"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0" fontId="55" fillId="0" borderId="42"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0" fontId="56" fillId="0" borderId="0" applyNumberFormat="0" applyFill="0" applyBorder="0" applyAlignment="0" applyProtection="0"/>
    <xf numFmtId="37" fontId="57" fillId="0" borderId="0"/>
    <xf numFmtId="171" fontId="58" fillId="0" borderId="0"/>
    <xf numFmtId="0" fontId="58" fillId="0" borderId="0"/>
    <xf numFmtId="171" fontId="58" fillId="0" borderId="0"/>
    <xf numFmtId="171" fontId="53" fillId="0" borderId="0"/>
    <xf numFmtId="0" fontId="53" fillId="0" borderId="0"/>
    <xf numFmtId="171" fontId="53" fillId="0" borderId="0"/>
    <xf numFmtId="171" fontId="59" fillId="0" borderId="0"/>
    <xf numFmtId="0" fontId="59" fillId="0" borderId="0"/>
    <xf numFmtId="171" fontId="59" fillId="0" borderId="0"/>
    <xf numFmtId="171" fontId="60" fillId="0" borderId="0"/>
    <xf numFmtId="0" fontId="60" fillId="0" borderId="0"/>
    <xf numFmtId="171" fontId="60" fillId="0" borderId="0"/>
    <xf numFmtId="171" fontId="61" fillId="0" borderId="0"/>
    <xf numFmtId="0" fontId="61" fillId="0" borderId="0"/>
    <xf numFmtId="171" fontId="61" fillId="0" borderId="0"/>
    <xf numFmtId="171" fontId="62" fillId="0" borderId="0"/>
    <xf numFmtId="0" fontId="62" fillId="0" borderId="0"/>
    <xf numFmtId="171"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1" fontId="2" fillId="0" borderId="0">
      <alignment horizontal="center"/>
    </xf>
    <xf numFmtId="0" fontId="2" fillId="0" borderId="0">
      <alignment horizontal="center"/>
    </xf>
    <xf numFmtId="171" fontId="2" fillId="0" borderId="0">
      <alignment horizontal="center"/>
    </xf>
    <xf numFmtId="171"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1" fontId="63" fillId="0" borderId="0" applyNumberFormat="0" applyFill="0" applyBorder="0" applyAlignment="0" applyProtection="0">
      <alignment vertical="top"/>
      <protection locked="0"/>
    </xf>
    <xf numFmtId="171" fontId="64" fillId="0" borderId="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2"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0" fontId="65" fillId="43" borderId="38" applyNumberFormat="0" applyAlignment="0" applyProtection="0"/>
    <xf numFmtId="3" fontId="2" fillId="72" borderId="3" applyFont="0">
      <alignment horizontal="right" vertical="center"/>
      <protection locked="0"/>
    </xf>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0" fontId="68" fillId="0" borderId="44" applyNumberFormat="0" applyFill="0" applyAlignment="0" applyProtection="0"/>
    <xf numFmtId="0" fontId="69" fillId="0" borderId="33"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0" fontId="68" fillId="0" borderId="44"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0" fontId="68" fillId="0" borderId="44" applyNumberFormat="0" applyFill="0" applyAlignment="0" applyProtection="0"/>
    <xf numFmtId="171" fontId="2" fillId="0" borderId="0">
      <alignment horizontal="center"/>
    </xf>
    <xf numFmtId="0" fontId="2" fillId="0" borderId="0">
      <alignment horizontal="center"/>
    </xf>
    <xf numFmtId="171" fontId="2" fillId="0" borderId="0">
      <alignment horizontal="center"/>
    </xf>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0" fontId="71" fillId="73" borderId="0" applyNumberFormat="0" applyBorder="0" applyAlignment="0" applyProtection="0"/>
    <xf numFmtId="1" fontId="74" fillId="0" borderId="0" applyProtection="0"/>
    <xf numFmtId="171" fontId="25" fillId="0" borderId="45"/>
    <xf numFmtId="172" fontId="25" fillId="0" borderId="45"/>
    <xf numFmtId="171" fontId="25"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4"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75" fillId="0" borderId="0"/>
    <xf numFmtId="184" fontId="2" fillId="0" borderId="0"/>
    <xf numFmtId="182" fontId="27"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6" fillId="0" borderId="0"/>
    <xf numFmtId="0" fontId="76" fillId="0" borderId="0"/>
    <xf numFmtId="0" fontId="75" fillId="0" borderId="0"/>
    <xf numFmtId="182" fontId="27" fillId="0" borderId="0"/>
    <xf numFmtId="182" fontId="2" fillId="0" borderId="0"/>
    <xf numFmtId="182" fontId="2" fillId="0" borderId="0"/>
    <xf numFmtId="0" fontId="2" fillId="0" borderId="0"/>
    <xf numFmtId="0" fontId="2"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182" fontId="27"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0" fontId="2" fillId="0" borderId="0"/>
    <xf numFmtId="171"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 fillId="0" borderId="0"/>
    <xf numFmtId="182" fontId="1" fillId="0" borderId="0"/>
    <xf numFmtId="182" fontId="1" fillId="0" borderId="0"/>
    <xf numFmtId="182" fontId="1" fillId="0" borderId="0"/>
    <xf numFmtId="182"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171" fontId="2" fillId="0" borderId="0"/>
    <xf numFmtId="182" fontId="2" fillId="0" borderId="0"/>
    <xf numFmtId="182" fontId="2" fillId="0" borderId="0"/>
    <xf numFmtId="171"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2" fillId="0" borderId="0"/>
    <xf numFmtId="0" fontId="1" fillId="0" borderId="0"/>
    <xf numFmtId="0" fontId="1" fillId="0" borderId="0"/>
    <xf numFmtId="0" fontId="1" fillId="0" borderId="0"/>
    <xf numFmtId="0" fontId="1"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27" fillId="0" borderId="0"/>
    <xf numFmtId="0" fontId="27" fillId="0" borderId="0"/>
    <xf numFmtId="171"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71" fontId="27" fillId="0" borderId="0"/>
    <xf numFmtId="0" fontId="27" fillId="0" borderId="0"/>
    <xf numFmtId="0" fontId="27" fillId="0" borderId="0"/>
    <xf numFmtId="0" fontId="2"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6" fillId="0" borderId="0"/>
    <xf numFmtId="182" fontId="27" fillId="0" borderId="0"/>
    <xf numFmtId="182" fontId="27"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27" fillId="0" borderId="0"/>
    <xf numFmtId="182" fontId="27" fillId="0" borderId="0"/>
    <xf numFmtId="182" fontId="27" fillId="0" borderId="0"/>
    <xf numFmtId="182"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82"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4" fillId="0" borderId="0"/>
    <xf numFmtId="0" fontId="27" fillId="0" borderId="0"/>
    <xf numFmtId="0" fontId="2" fillId="0" borderId="0"/>
    <xf numFmtId="0" fontId="26" fillId="0" borderId="0"/>
    <xf numFmtId="171" fontId="24" fillId="0" borderId="0"/>
    <xf numFmtId="0" fontId="2"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2" fontId="2" fillId="0" borderId="0"/>
    <xf numFmtId="0" fontId="27" fillId="0" borderId="0"/>
    <xf numFmtId="0" fontId="27" fillId="0" borderId="0"/>
    <xf numFmtId="171" fontId="24" fillId="0" borderId="0"/>
    <xf numFmtId="0" fontId="64" fillId="0" borderId="0"/>
    <xf numFmtId="0" fontId="2" fillId="0" borderId="0"/>
    <xf numFmtId="171" fontId="24" fillId="0" borderId="0"/>
    <xf numFmtId="0" fontId="1"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1" fontId="24" fillId="0" borderId="0"/>
    <xf numFmtId="171" fontId="24" fillId="0" borderId="0"/>
    <xf numFmtId="0" fontId="1" fillId="0" borderId="0"/>
    <xf numFmtId="182" fontId="27" fillId="0" borderId="0"/>
    <xf numFmtId="182" fontId="27" fillId="0" borderId="0"/>
    <xf numFmtId="182" fontId="2" fillId="0" borderId="0"/>
    <xf numFmtId="0" fontId="2" fillId="0" borderId="0"/>
    <xf numFmtId="182" fontId="2" fillId="0" borderId="0"/>
    <xf numFmtId="0" fontId="2" fillId="0" borderId="0"/>
    <xf numFmtId="182"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1" fontId="24" fillId="0" borderId="0"/>
    <xf numFmtId="171" fontId="24" fillId="0" borderId="0"/>
    <xf numFmtId="0" fontId="1" fillId="0" borderId="0"/>
    <xf numFmtId="182" fontId="27" fillId="0" borderId="0"/>
    <xf numFmtId="182"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182"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2" fontId="27"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82" fontId="2"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2" fontId="25" fillId="0" borderId="0"/>
    <xf numFmtId="0" fontId="8"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2" fontId="8" fillId="0" borderId="0"/>
    <xf numFmtId="0" fontId="25" fillId="0" borderId="0"/>
    <xf numFmtId="182"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5" fillId="0" borderId="0"/>
    <xf numFmtId="182" fontId="8"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8"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1" fontId="25" fillId="0" borderId="0"/>
    <xf numFmtId="0" fontId="75"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71" fontId="8" fillId="0" borderId="0"/>
    <xf numFmtId="0" fontId="75" fillId="0" borderId="0"/>
    <xf numFmtId="171"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2"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2"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182" fontId="25"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182" fontId="25" fillId="0" borderId="0"/>
    <xf numFmtId="182" fontId="25"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71"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43" fillId="0" borderId="0"/>
    <xf numFmtId="0" fontId="2" fillId="0" borderId="0"/>
    <xf numFmtId="0" fontId="75" fillId="0" borderId="0"/>
    <xf numFmtId="171" fontId="43"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2"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0" fontId="2"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2"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2" fontId="2" fillId="0" borderId="0"/>
    <xf numFmtId="0" fontId="2" fillId="0" borderId="0"/>
    <xf numFmtId="0" fontId="2" fillId="0" borderId="0"/>
    <xf numFmtId="182" fontId="2" fillId="0" borderId="0"/>
    <xf numFmtId="0" fontId="2" fillId="0" borderId="0"/>
    <xf numFmtId="182" fontId="2" fillId="0" borderId="0"/>
    <xf numFmtId="182" fontId="2" fillId="0" borderId="0"/>
    <xf numFmtId="182" fontId="2" fillId="0" borderId="0"/>
    <xf numFmtId="182" fontId="2" fillId="0" borderId="0"/>
    <xf numFmtId="18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2"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1"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1"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1"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79" fillId="0" borderId="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1"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171" fontId="2" fillId="0" borderId="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2"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171"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6" fontId="2" fillId="0" borderId="0" applyFont="0" applyFill="0" applyBorder="0" applyAlignment="0" applyProtection="0"/>
    <xf numFmtId="187" fontId="2" fillId="0" borderId="0" applyFont="0" applyFill="0" applyBorder="0" applyAlignment="0" applyProtection="0"/>
    <xf numFmtId="188" fontId="80" fillId="0" borderId="0">
      <alignment horizontal="left"/>
    </xf>
    <xf numFmtId="0" fontId="2" fillId="0" borderId="0"/>
    <xf numFmtId="0" fontId="2" fillId="0" borderId="0"/>
    <xf numFmtId="171" fontId="2" fillId="0" borderId="0"/>
    <xf numFmtId="3" fontId="2" fillId="75" borderId="3" applyFont="0">
      <alignment horizontal="right" vertical="center"/>
      <protection locked="0"/>
    </xf>
    <xf numFmtId="171" fontId="81" fillId="0" borderId="0"/>
    <xf numFmtId="0" fontId="81" fillId="0" borderId="0"/>
    <xf numFmtId="171" fontId="81" fillId="0" borderId="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2"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24" fillId="0" borderId="0"/>
    <xf numFmtId="178" fontId="36" fillId="0" borderId="0" applyFont="0" applyFill="0" applyBorder="0" applyAlignment="0" applyProtection="0"/>
    <xf numFmtId="189"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171" fontId="2" fillId="0" borderId="0"/>
    <xf numFmtId="0" fontId="2" fillId="0" borderId="0"/>
    <xf numFmtId="171" fontId="2" fillId="0" borderId="0"/>
    <xf numFmtId="190"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91" fontId="2" fillId="70" borderId="3" applyFont="0">
      <alignment horizontal="right" vertical="center"/>
    </xf>
    <xf numFmtId="0" fontId="87" fillId="0" borderId="0"/>
    <xf numFmtId="0" fontId="24" fillId="0" borderId="0"/>
    <xf numFmtId="0" fontId="88" fillId="0" borderId="0"/>
    <xf numFmtId="0" fontId="88" fillId="0" borderId="0"/>
    <xf numFmtId="171" fontId="24" fillId="0" borderId="0"/>
    <xf numFmtId="171"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2" fontId="36" fillId="0" borderId="0" applyFill="0" applyBorder="0" applyAlignment="0"/>
    <xf numFmtId="193" fontId="36" fillId="0" borderId="0" applyFill="0" applyBorder="0" applyAlignment="0"/>
    <xf numFmtId="0" fontId="91" fillId="0" borderId="0">
      <alignment horizontal="center" vertical="top"/>
    </xf>
    <xf numFmtId="0"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0" fontId="92" fillId="0" borderId="0" applyNumberFormat="0" applyFill="0" applyBorder="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24" fillId="0" borderId="49"/>
    <xf numFmtId="188" fontId="80" fillId="0" borderId="0">
      <alignment horizontal="left"/>
    </xf>
    <xf numFmtId="0" fontId="2" fillId="0" borderId="0"/>
    <xf numFmtId="0" fontId="2" fillId="0" borderId="0"/>
    <xf numFmtId="171" fontId="2" fillId="0" borderId="0"/>
    <xf numFmtId="171" fontId="2" fillId="0" borderId="0">
      <alignment horizontal="center" textRotation="90"/>
    </xf>
    <xf numFmtId="0" fontId="2" fillId="0" borderId="0">
      <alignment horizontal="center" textRotation="90"/>
    </xf>
    <xf numFmtId="171" fontId="2" fillId="0" borderId="0">
      <alignment horizontal="center" textRotation="90"/>
    </xf>
    <xf numFmtId="194" fontId="25" fillId="0" borderId="0" applyFont="0" applyFill="0" applyBorder="0" applyAlignment="0" applyProtection="0"/>
    <xf numFmtId="195"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6"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2"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91" fontId="2" fillId="70" borderId="99" applyFont="0">
      <alignment horizontal="right" vertical="center"/>
    </xf>
    <xf numFmtId="3" fontId="2" fillId="70" borderId="99" applyFont="0">
      <alignment horizontal="right" vertical="center"/>
    </xf>
    <xf numFmtId="0" fontId="82"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2"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3" fontId="2" fillId="75" borderId="99" applyFont="0">
      <alignment horizontal="right" vertical="center"/>
      <protection locked="0"/>
    </xf>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3" fontId="2" fillId="72" borderId="99" applyFont="0">
      <alignment horizontal="right" vertical="center"/>
      <protection locked="0"/>
    </xf>
    <xf numFmtId="0" fontId="65"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2"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2" fillId="71" borderId="100" applyNumberFormat="0" applyFont="0" applyBorder="0" applyProtection="0">
      <alignment horizontal="left" vertical="center"/>
    </xf>
    <xf numFmtId="9" fontId="2" fillId="71" borderId="99" applyFont="0" applyProtection="0">
      <alignment horizontal="right" vertical="center"/>
    </xf>
    <xf numFmtId="3" fontId="2" fillId="71" borderId="99" applyFont="0" applyProtection="0">
      <alignment horizontal="right" vertical="center"/>
    </xf>
    <xf numFmtId="0" fontId="61" fillId="70" borderId="100" applyFont="0" applyBorder="0">
      <alignment horizontal="center" wrapText="1"/>
    </xf>
    <xf numFmtId="171" fontId="53" fillId="0" borderId="97">
      <alignment horizontal="left" vertical="center"/>
    </xf>
    <xf numFmtId="0" fontId="53" fillId="0" borderId="97">
      <alignment horizontal="left" vertical="center"/>
    </xf>
    <xf numFmtId="0" fontId="53" fillId="0" borderId="97">
      <alignment horizontal="left" vertical="center"/>
    </xf>
    <xf numFmtId="0" fontId="2" fillId="69" borderId="99" applyNumberFormat="0" applyFont="0" applyBorder="0" applyProtection="0">
      <alignment horizontal="center" vertical="center"/>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7"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2"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1" fillId="0" borderId="0"/>
    <xf numFmtId="172" fontId="25" fillId="37" borderId="0"/>
    <xf numFmtId="0" fontId="2" fillId="0" borderId="0">
      <alignment vertical="center"/>
    </xf>
    <xf numFmtId="169" fontId="1" fillId="0" borderId="0" applyFont="0" applyFill="0" applyBorder="0" applyAlignment="0" applyProtection="0"/>
    <xf numFmtId="0" fontId="127" fillId="0" borderId="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2"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2" fillId="69" borderId="148" applyNumberFormat="0" applyFont="0" applyBorder="0" applyProtection="0">
      <alignment horizontal="center" vertical="center"/>
    </xf>
    <xf numFmtId="0" fontId="53" fillId="0" borderId="153">
      <alignment horizontal="left" vertical="center"/>
    </xf>
    <xf numFmtId="0" fontId="53" fillId="0" borderId="153">
      <alignment horizontal="left" vertical="center"/>
    </xf>
    <xf numFmtId="171" fontId="53" fillId="0" borderId="153">
      <alignment horizontal="left" vertical="center"/>
    </xf>
    <xf numFmtId="0" fontId="61" fillId="70" borderId="151" applyFont="0" applyBorder="0">
      <alignment horizontal="center" wrapText="1"/>
    </xf>
    <xf numFmtId="3" fontId="2" fillId="71" borderId="148" applyFont="0" applyProtection="0">
      <alignment horizontal="right" vertical="center"/>
    </xf>
    <xf numFmtId="9" fontId="2" fillId="71" borderId="148" applyFont="0" applyProtection="0">
      <alignment horizontal="right" vertical="center"/>
    </xf>
    <xf numFmtId="0" fontId="2" fillId="71" borderId="151" applyNumberFormat="0" applyFont="0" applyBorder="0" applyProtection="0">
      <alignment horizontal="left" vertical="center"/>
    </xf>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2"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0" fontId="65" fillId="43" borderId="162" applyNumberFormat="0" applyAlignment="0" applyProtection="0"/>
    <xf numFmtId="3" fontId="2" fillId="72" borderId="148" applyFont="0">
      <alignment horizontal="right" vertical="center"/>
      <protection locked="0"/>
    </xf>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3" fontId="2" fillId="75" borderId="148" applyFont="0">
      <alignment horizontal="right" vertical="center"/>
      <protection locked="0"/>
    </xf>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2"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0" fontId="82" fillId="64" borderId="164" applyNumberFormat="0" applyAlignment="0" applyProtection="0"/>
    <xf numFmtId="3" fontId="2" fillId="70" borderId="148" applyFont="0">
      <alignment horizontal="right" vertical="center"/>
    </xf>
    <xf numFmtId="191" fontId="2" fillId="70" borderId="148" applyFont="0">
      <alignment horizontal="right" vertical="center"/>
    </xf>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2"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1" fillId="0" borderId="0"/>
    <xf numFmtId="43" fontId="1" fillId="0" borderId="0" applyFont="0" applyFill="0" applyBorder="0" applyAlignment="0" applyProtection="0"/>
  </cellStyleXfs>
  <cellXfs count="992">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70" fontId="3" fillId="0" borderId="0" xfId="0" applyNumberFormat="1" applyFont="1" applyFill="1" applyBorder="1" applyAlignment="1">
      <alignment horizontal="center"/>
    </xf>
    <xf numFmtId="170" fontId="0" fillId="0" borderId="0" xfId="0" applyNumberFormat="1" applyBorder="1" applyAlignment="1">
      <alignment horizontal="center"/>
    </xf>
    <xf numFmtId="170"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21"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7" fontId="7" fillId="3" borderId="3" xfId="1" applyNumberFormat="1" applyFont="1" applyFill="1" applyBorder="1" applyAlignment="1" applyProtection="1">
      <alignment horizontal="center" vertical="center" wrapText="1"/>
      <protection locked="0"/>
    </xf>
    <xf numFmtId="167" fontId="7" fillId="3" borderId="19" xfId="1" applyNumberFormat="1" applyFont="1" applyFill="1" applyBorder="1" applyAlignment="1" applyProtection="1">
      <alignment horizontal="center" vertical="center" wrapText="1"/>
      <protection locked="0"/>
    </xf>
    <xf numFmtId="167"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8"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8"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19"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7"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170" fontId="22" fillId="0" borderId="60" xfId="0" applyNumberFormat="1" applyFont="1" applyBorder="1" applyAlignment="1">
      <alignment horizontal="center"/>
    </xf>
    <xf numFmtId="170" fontId="22" fillId="0" borderId="58" xfId="0" applyNumberFormat="1" applyFont="1" applyBorder="1" applyAlignment="1">
      <alignment horizontal="center"/>
    </xf>
    <xf numFmtId="170" fontId="18" fillId="0" borderId="58" xfId="0" applyNumberFormat="1" applyFont="1" applyBorder="1" applyAlignment="1">
      <alignment horizontal="center"/>
    </xf>
    <xf numFmtId="170" fontId="22" fillId="0" borderId="61" xfId="0" applyNumberFormat="1" applyFont="1" applyBorder="1" applyAlignment="1">
      <alignment horizontal="center"/>
    </xf>
    <xf numFmtId="170" fontId="22"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7" fontId="10" fillId="36" borderId="24" xfId="1" applyNumberFormat="1" applyFont="1" applyFill="1" applyBorder="1" applyAlignment="1" applyProtection="1">
      <protection locked="0"/>
    </xf>
    <xf numFmtId="0" fontId="4" fillId="0" borderId="54" xfId="0" applyFont="1" applyBorder="1" applyAlignment="1">
      <alignment horizontal="center"/>
    </xf>
    <xf numFmtId="0" fontId="4" fillId="0" borderId="55"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6" xfId="0" applyNumberFormat="1" applyFont="1" applyFill="1" applyBorder="1" applyAlignment="1">
      <alignment horizontal="right" vertical="center"/>
    </xf>
    <xf numFmtId="49" fontId="104" fillId="0" borderId="79" xfId="0" applyNumberFormat="1" applyFont="1" applyFill="1" applyBorder="1" applyAlignment="1">
      <alignment horizontal="right" vertical="center"/>
    </xf>
    <xf numFmtId="49" fontId="104" fillId="0" borderId="84"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4"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6" fontId="9" fillId="2" borderId="23" xfId="0" applyNumberFormat="1" applyFont="1" applyFill="1" applyBorder="1" applyAlignment="1" applyProtection="1">
      <alignment vertical="center"/>
      <protection locked="0"/>
    </xf>
    <xf numFmtId="3" fontId="20" fillId="36" borderId="23" xfId="0" applyNumberFormat="1" applyFont="1" applyFill="1" applyBorder="1" applyAlignment="1">
      <alignment vertical="center" wrapText="1"/>
    </xf>
    <xf numFmtId="3" fontId="20" fillId="36" borderId="24" xfId="0" applyNumberFormat="1" applyFont="1" applyFill="1" applyBorder="1" applyAlignment="1">
      <alignment vertical="center" wrapText="1"/>
    </xf>
    <xf numFmtId="196" fontId="0" fillId="36" borderId="18" xfId="0" applyNumberFormat="1" applyFill="1" applyBorder="1" applyAlignment="1">
      <alignment horizontal="center" vertical="center"/>
    </xf>
    <xf numFmtId="196" fontId="0" fillId="0" borderId="20" xfId="0" applyNumberFormat="1" applyBorder="1" applyAlignment="1"/>
    <xf numFmtId="196" fontId="0" fillId="0" borderId="20" xfId="0" applyNumberFormat="1" applyBorder="1" applyAlignment="1">
      <alignment wrapText="1"/>
    </xf>
    <xf numFmtId="196" fontId="0" fillId="36" borderId="20" xfId="0" applyNumberFormat="1" applyFill="1" applyBorder="1" applyAlignment="1">
      <alignment horizontal="center" vertical="center" wrapText="1"/>
    </xf>
    <xf numFmtId="196" fontId="0" fillId="36" borderId="24" xfId="0" applyNumberFormat="1" applyFill="1" applyBorder="1" applyAlignment="1">
      <alignment horizontal="center" vertical="center" wrapText="1"/>
    </xf>
    <xf numFmtId="196" fontId="7" fillId="36" borderId="20" xfId="2" applyNumberFormat="1" applyFont="1" applyFill="1" applyBorder="1" applyAlignment="1" applyProtection="1">
      <alignment vertical="top"/>
    </xf>
    <xf numFmtId="196" fontId="7" fillId="36" borderId="24" xfId="2" applyNumberFormat="1" applyFont="1" applyFill="1" applyBorder="1" applyAlignment="1" applyProtection="1">
      <alignment vertical="top" wrapText="1"/>
    </xf>
    <xf numFmtId="196" fontId="4" fillId="36" borderId="23" xfId="0" applyNumberFormat="1" applyFont="1" applyFill="1" applyBorder="1"/>
    <xf numFmtId="196" fontId="4" fillId="36" borderId="51" xfId="0" applyNumberFormat="1" applyFont="1" applyFill="1" applyBorder="1" applyAlignment="1"/>
    <xf numFmtId="196" fontId="4" fillId="36" borderId="22" xfId="0" applyNumberFormat="1" applyFont="1" applyFill="1" applyBorder="1"/>
    <xf numFmtId="196" fontId="4" fillId="36" borderId="24" xfId="0" applyNumberFormat="1" applyFont="1" applyFill="1" applyBorder="1"/>
    <xf numFmtId="196" fontId="4" fillId="36" borderId="52" xfId="0" applyNumberFormat="1" applyFont="1" applyFill="1" applyBorder="1"/>
    <xf numFmtId="196" fontId="9" fillId="36" borderId="3" xfId="5" applyNumberFormat="1" applyFont="1" applyFill="1" applyBorder="1" applyProtection="1">
      <protection locked="0"/>
    </xf>
    <xf numFmtId="196" fontId="9" fillId="3" borderId="3" xfId="5" applyNumberFormat="1" applyFont="1" applyFill="1" applyBorder="1" applyProtection="1">
      <protection locked="0"/>
    </xf>
    <xf numFmtId="196" fontId="10" fillId="36" borderId="23" xfId="16" applyNumberFormat="1" applyFont="1" applyFill="1" applyBorder="1" applyAlignment="1" applyProtection="1">
      <protection locked="0"/>
    </xf>
    <xf numFmtId="196" fontId="9" fillId="36" borderId="3" xfId="1" applyNumberFormat="1" applyFont="1" applyFill="1" applyBorder="1" applyProtection="1">
      <protection locked="0"/>
    </xf>
    <xf numFmtId="196" fontId="9" fillId="0" borderId="3" xfId="1" applyNumberFormat="1" applyFont="1" applyFill="1" applyBorder="1" applyProtection="1">
      <protection locked="0"/>
    </xf>
    <xf numFmtId="196" fontId="10" fillId="36" borderId="23" xfId="1" applyNumberFormat="1" applyFont="1" applyFill="1" applyBorder="1" applyAlignment="1" applyProtection="1">
      <protection locked="0"/>
    </xf>
    <xf numFmtId="196" fontId="9" fillId="3" borderId="23" xfId="5" applyNumberFormat="1" applyFont="1" applyFill="1" applyBorder="1" applyProtection="1">
      <protection locked="0"/>
    </xf>
    <xf numFmtId="196" fontId="22"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6" borderId="24" xfId="20961" applyFont="1" applyFill="1" applyBorder="1"/>
    <xf numFmtId="170" fontId="6" fillId="36"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72" fontId="25" fillId="37" borderId="0" xfId="20" applyBorder="1"/>
    <xf numFmtId="172" fontId="25" fillId="37" borderId="92" xfId="20" applyBorder="1"/>
    <xf numFmtId="0" fontId="4" fillId="0" borderId="7" xfId="0" applyFont="1" applyFill="1" applyBorder="1" applyAlignment="1">
      <alignment vertical="center"/>
    </xf>
    <xf numFmtId="0" fontId="4" fillId="0" borderId="99"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94" xfId="0" applyFont="1" applyFill="1" applyBorder="1" applyAlignment="1">
      <alignment vertical="center"/>
    </xf>
    <xf numFmtId="0" fontId="4" fillId="0" borderId="96" xfId="0" applyFont="1" applyFill="1" applyBorder="1" applyAlignment="1">
      <alignment vertical="center"/>
    </xf>
    <xf numFmtId="0" fontId="4" fillId="0" borderId="16" xfId="0" applyFont="1" applyFill="1" applyBorder="1" applyAlignment="1">
      <alignment horizontal="center" vertical="center"/>
    </xf>
    <xf numFmtId="0" fontId="4" fillId="0" borderId="107" xfId="0" applyFont="1" applyFill="1" applyBorder="1" applyAlignment="1">
      <alignment horizontal="center" vertical="center"/>
    </xf>
    <xf numFmtId="0" fontId="4" fillId="0" borderId="109" xfId="0" applyFont="1" applyFill="1" applyBorder="1" applyAlignment="1">
      <alignment horizontal="center" vertical="center"/>
    </xf>
    <xf numFmtId="172" fontId="25" fillId="37" borderId="29" xfId="20" applyBorder="1"/>
    <xf numFmtId="172" fontId="25" fillId="37" borderId="111" xfId="20" applyBorder="1"/>
    <xf numFmtId="172" fontId="25" fillId="37" borderId="101" xfId="20" applyBorder="1"/>
    <xf numFmtId="172" fontId="25" fillId="37"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4"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6" fillId="0" borderId="23" xfId="0" applyFont="1" applyFill="1" applyBorder="1" applyAlignment="1">
      <alignment vertical="center"/>
    </xf>
    <xf numFmtId="172" fontId="25" fillId="37"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6" borderId="117" xfId="0" applyFont="1" applyFill="1" applyBorder="1" applyAlignment="1">
      <alignment vertical="center" wrapText="1"/>
    </xf>
    <xf numFmtId="196"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6" xfId="0" applyFont="1" applyFill="1" applyBorder="1" applyAlignment="1">
      <alignment horizontal="left" vertical="center" wrapText="1"/>
    </xf>
    <xf numFmtId="0" fontId="6" fillId="36" borderId="99" xfId="0" applyFont="1" applyFill="1" applyBorder="1" applyAlignment="1">
      <alignment horizontal="left" vertical="center" wrapText="1"/>
    </xf>
    <xf numFmtId="0" fontId="6" fillId="36"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7" fillId="0" borderId="116" xfId="0" applyFont="1" applyFill="1" applyBorder="1" applyAlignment="1">
      <alignment horizontal="right" vertical="center" wrapText="1"/>
    </xf>
    <xf numFmtId="0" fontId="107"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9" fillId="0" borderId="116" xfId="0" applyFont="1" applyBorder="1" applyAlignment="1">
      <alignment horizontal="center" vertical="center" wrapText="1"/>
    </xf>
    <xf numFmtId="3" fontId="20" fillId="36" borderId="99" xfId="0" applyNumberFormat="1" applyFont="1" applyFill="1" applyBorder="1" applyAlignment="1">
      <alignment vertical="center" wrapText="1"/>
    </xf>
    <xf numFmtId="3" fontId="20" fillId="36"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14" fontId="7" fillId="3" borderId="99" xfId="8" quotePrefix="1" applyNumberFormat="1" applyFont="1" applyFill="1" applyBorder="1" applyAlignment="1" applyProtection="1">
      <alignment horizontal="left" vertical="center" wrapText="1" indent="3"/>
      <protection locked="0"/>
    </xf>
    <xf numFmtId="0" fontId="11" fillId="0" borderId="99" xfId="17" applyFill="1" applyBorder="1" applyAlignment="1" applyProtection="1"/>
    <xf numFmtId="49" fontId="107"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1"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7"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19" fillId="0" borderId="116" xfId="0" applyFont="1" applyFill="1" applyBorder="1" applyAlignment="1">
      <alignment horizontal="center" vertical="center" wrapText="1"/>
    </xf>
    <xf numFmtId="0" fontId="110" fillId="78" borderId="100" xfId="21412" applyFont="1" applyFill="1" applyBorder="1" applyAlignment="1" applyProtection="1">
      <alignment vertical="center" wrapText="1"/>
      <protection locked="0"/>
    </xf>
    <xf numFmtId="0" fontId="111" fillId="70" borderId="94" xfId="21412" applyFont="1" applyFill="1" applyBorder="1" applyAlignment="1" applyProtection="1">
      <alignment horizontal="center" vertical="center"/>
      <protection locked="0"/>
    </xf>
    <xf numFmtId="0" fontId="110" fillId="79" borderId="99" xfId="21412" applyFont="1" applyFill="1" applyBorder="1" applyAlignment="1" applyProtection="1">
      <alignment horizontal="center" vertical="center"/>
      <protection locked="0"/>
    </xf>
    <xf numFmtId="0" fontId="110" fillId="78" borderId="100" xfId="21412" applyFont="1" applyFill="1" applyBorder="1" applyAlignment="1" applyProtection="1">
      <alignment vertical="center"/>
      <protection locked="0"/>
    </xf>
    <xf numFmtId="0" fontId="112" fillId="70" borderId="94" xfId="21412" applyFont="1" applyFill="1" applyBorder="1" applyAlignment="1" applyProtection="1">
      <alignment horizontal="center" vertical="center"/>
      <protection locked="0"/>
    </xf>
    <xf numFmtId="0" fontId="112" fillId="3" borderId="94" xfId="21412" applyFont="1" applyFill="1" applyBorder="1" applyAlignment="1" applyProtection="1">
      <alignment horizontal="center" vertical="center"/>
      <protection locked="0"/>
    </xf>
    <xf numFmtId="0" fontId="112" fillId="0" borderId="94" xfId="21412" applyFont="1" applyFill="1" applyBorder="1" applyAlignment="1" applyProtection="1">
      <alignment horizontal="center" vertical="center"/>
      <protection locked="0"/>
    </xf>
    <xf numFmtId="0" fontId="113" fillId="79" borderId="99" xfId="21412" applyFont="1" applyFill="1" applyBorder="1" applyAlignment="1" applyProtection="1">
      <alignment horizontal="center" vertical="center"/>
      <protection locked="0"/>
    </xf>
    <xf numFmtId="0" fontId="110" fillId="78" borderId="100" xfId="21412" applyFont="1" applyFill="1" applyBorder="1" applyAlignment="1" applyProtection="1">
      <alignment horizontal="center" vertical="center"/>
      <protection locked="0"/>
    </xf>
    <xf numFmtId="0" fontId="61" fillId="78" borderId="100" xfId="21412" applyFont="1" applyFill="1" applyBorder="1" applyAlignment="1" applyProtection="1">
      <alignment vertical="center"/>
      <protection locked="0"/>
    </xf>
    <xf numFmtId="0" fontId="112" fillId="70" borderId="99" xfId="21412" applyFont="1" applyFill="1" applyBorder="1" applyAlignment="1" applyProtection="1">
      <alignment horizontal="center" vertical="center"/>
      <protection locked="0"/>
    </xf>
    <xf numFmtId="0" fontId="35" fillId="70" borderId="99" xfId="21412" applyFont="1" applyFill="1" applyBorder="1" applyAlignment="1" applyProtection="1">
      <alignment horizontal="center" vertical="center"/>
      <protection locked="0"/>
    </xf>
    <xf numFmtId="0" fontId="61" fillId="78" borderId="98" xfId="21412" applyFont="1" applyFill="1" applyBorder="1" applyAlignment="1" applyProtection="1">
      <alignment vertical="center"/>
      <protection locked="0"/>
    </xf>
    <xf numFmtId="0" fontId="111" fillId="0" borderId="98" xfId="21412" applyFont="1" applyFill="1" applyBorder="1" applyAlignment="1" applyProtection="1">
      <alignment horizontal="left" vertical="center" wrapText="1"/>
      <protection locked="0"/>
    </xf>
    <xf numFmtId="167" fontId="111" fillId="0" borderId="99" xfId="948" applyNumberFormat="1" applyFont="1" applyFill="1" applyBorder="1" applyAlignment="1" applyProtection="1">
      <alignment horizontal="right" vertical="center"/>
      <protection locked="0"/>
    </xf>
    <xf numFmtId="0" fontId="110" fillId="79" borderId="98" xfId="21412" applyFont="1" applyFill="1" applyBorder="1" applyAlignment="1" applyProtection="1">
      <alignment vertical="top" wrapText="1"/>
      <protection locked="0"/>
    </xf>
    <xf numFmtId="167" fontId="111" fillId="79" borderId="99" xfId="948" applyNumberFormat="1" applyFont="1" applyFill="1" applyBorder="1" applyAlignment="1" applyProtection="1">
      <alignment horizontal="right" vertical="center"/>
    </xf>
    <xf numFmtId="167" fontId="61" fillId="78" borderId="98" xfId="948" applyNumberFormat="1" applyFont="1" applyFill="1" applyBorder="1" applyAlignment="1" applyProtection="1">
      <alignment horizontal="right" vertical="center"/>
      <protection locked="0"/>
    </xf>
    <xf numFmtId="0" fontId="111" fillId="70" borderId="98" xfId="21412" applyFont="1" applyFill="1" applyBorder="1" applyAlignment="1" applyProtection="1">
      <alignment vertical="center" wrapText="1"/>
      <protection locked="0"/>
    </xf>
    <xf numFmtId="0" fontId="111" fillId="70" borderId="98" xfId="21412" applyFont="1" applyFill="1" applyBorder="1" applyAlignment="1" applyProtection="1">
      <alignment horizontal="left" vertical="center" wrapText="1"/>
      <protection locked="0"/>
    </xf>
    <xf numFmtId="0" fontId="111" fillId="0" borderId="98" xfId="21412" applyFont="1" applyFill="1" applyBorder="1" applyAlignment="1" applyProtection="1">
      <alignment vertical="center" wrapText="1"/>
      <protection locked="0"/>
    </xf>
    <xf numFmtId="0" fontId="111" fillId="3" borderId="98" xfId="21412" applyFont="1" applyFill="1" applyBorder="1" applyAlignment="1" applyProtection="1">
      <alignment horizontal="left" vertical="center" wrapText="1"/>
      <protection locked="0"/>
    </xf>
    <xf numFmtId="0" fontId="110" fillId="79" borderId="98" xfId="21412" applyFont="1" applyFill="1" applyBorder="1" applyAlignment="1" applyProtection="1">
      <alignment vertical="center" wrapText="1"/>
      <protection locked="0"/>
    </xf>
    <xf numFmtId="167" fontId="110" fillId="78" borderId="98" xfId="948" applyNumberFormat="1" applyFont="1" applyFill="1" applyBorder="1" applyAlignment="1" applyProtection="1">
      <alignment horizontal="right" vertical="center"/>
      <protection locked="0"/>
    </xf>
    <xf numFmtId="167" fontId="111" fillId="3" borderId="99" xfId="948" applyNumberFormat="1" applyFont="1" applyFill="1" applyBorder="1" applyAlignment="1" applyProtection="1">
      <alignment horizontal="right" vertical="center"/>
      <protection locked="0"/>
    </xf>
    <xf numFmtId="10" fontId="107" fillId="0" borderId="99" xfId="20961" applyNumberFormat="1" applyFont="1" applyFill="1" applyBorder="1" applyAlignment="1">
      <alignment horizontal="left" vertical="center" wrapText="1"/>
    </xf>
    <xf numFmtId="10" fontId="6" fillId="36" borderId="99"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43" fontId="7" fillId="0" borderId="0" xfId="7" applyFont="1"/>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0" fillId="36" borderId="100" xfId="0" applyNumberFormat="1" applyFont="1" applyFill="1" applyBorder="1" applyAlignment="1">
      <alignment vertical="center" wrapText="1"/>
    </xf>
    <xf numFmtId="3" fontId="20" fillId="36" borderId="21" xfId="0" applyNumberFormat="1" applyFont="1" applyFill="1" applyBorder="1" applyAlignment="1">
      <alignment vertical="center" wrapText="1"/>
    </xf>
    <xf numFmtId="3" fontId="20" fillId="36" borderId="25" xfId="0" applyNumberFormat="1" applyFont="1" applyFill="1" applyBorder="1" applyAlignment="1">
      <alignment vertical="center" wrapText="1"/>
    </xf>
    <xf numFmtId="3" fontId="20" fillId="36"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6" fontId="9" fillId="2" borderId="99"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7" fontId="4" fillId="0" borderId="99" xfId="7" applyNumberFormat="1" applyFont="1" applyBorder="1"/>
    <xf numFmtId="167" fontId="4" fillId="0" borderId="114" xfId="7" applyNumberFormat="1" applyFont="1" applyBorder="1"/>
    <xf numFmtId="0" fontId="14" fillId="0" borderId="99" xfId="0" applyFont="1" applyBorder="1" applyAlignment="1">
      <alignment horizontal="left" wrapText="1" indent="2"/>
    </xf>
    <xf numFmtId="172" fontId="25" fillId="37" borderId="99" xfId="20" applyBorder="1"/>
    <xf numFmtId="167"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7" fontId="6" fillId="0" borderId="114" xfId="7" applyNumberFormat="1" applyFont="1" applyBorder="1"/>
    <xf numFmtId="0" fontId="3" fillId="3" borderId="63" xfId="0" applyFont="1" applyFill="1" applyBorder="1" applyAlignment="1">
      <alignment horizontal="left"/>
    </xf>
    <xf numFmtId="167" fontId="4" fillId="3" borderId="0" xfId="7" applyNumberFormat="1" applyFont="1" applyFill="1" applyBorder="1"/>
    <xf numFmtId="167" fontId="4" fillId="3" borderId="0" xfId="7" applyNumberFormat="1" applyFont="1" applyFill="1" applyBorder="1" applyAlignment="1">
      <alignment vertical="center"/>
    </xf>
    <xf numFmtId="167" fontId="4" fillId="3" borderId="92" xfId="7" applyNumberFormat="1" applyFont="1" applyFill="1" applyBorder="1"/>
    <xf numFmtId="167"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72" fontId="25" fillId="37"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4" fillId="0" borderId="86" xfId="0" applyFont="1" applyFill="1" applyBorder="1" applyAlignment="1">
      <alignment horizontal="left" vertical="center"/>
    </xf>
    <xf numFmtId="0" fontId="104" fillId="0" borderId="84" xfId="0" applyFont="1" applyFill="1" applyBorder="1" applyAlignment="1">
      <alignment vertical="center" wrapText="1"/>
    </xf>
    <xf numFmtId="0" fontId="104" fillId="0" borderId="84"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14" fontId="115" fillId="0" borderId="0" xfId="0" applyNumberFormat="1" applyFont="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30" xfId="0" applyNumberFormat="1" applyFont="1" applyFill="1" applyBorder="1" applyAlignment="1">
      <alignment horizontal="left" vertical="center" wrapText="1"/>
    </xf>
    <xf numFmtId="0" fontId="123" fillId="0" borderId="0" xfId="0" applyFont="1"/>
    <xf numFmtId="49" fontId="104" fillId="0" borderId="99"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28" fillId="3" borderId="99" xfId="21414" applyFont="1" applyFill="1" applyBorder="1" applyAlignment="1">
      <alignment horizontal="left" vertical="center" wrapText="1"/>
    </xf>
    <xf numFmtId="0" fontId="129" fillId="0" borderId="99" xfId="21414" applyFont="1" applyFill="1" applyBorder="1" applyAlignment="1">
      <alignment horizontal="left" vertical="center" wrapText="1" indent="1"/>
    </xf>
    <xf numFmtId="0" fontId="130" fillId="3" borderId="99" xfId="21414" applyFont="1" applyFill="1" applyBorder="1" applyAlignment="1">
      <alignment horizontal="left" vertical="center" wrapText="1"/>
    </xf>
    <xf numFmtId="0" fontId="129" fillId="3" borderId="99" xfId="21414" applyFont="1" applyFill="1" applyBorder="1" applyAlignment="1">
      <alignment horizontal="left" vertical="center" wrapText="1" indent="1"/>
    </xf>
    <xf numFmtId="0" fontId="128" fillId="0" borderId="137" xfId="0" applyFont="1" applyFill="1" applyBorder="1" applyAlignment="1">
      <alignment horizontal="left" vertical="center" wrapText="1"/>
    </xf>
    <xf numFmtId="0" fontId="130" fillId="0" borderId="137" xfId="0" applyFont="1" applyFill="1" applyBorder="1" applyAlignment="1">
      <alignment horizontal="left" vertical="center" wrapText="1"/>
    </xf>
    <xf numFmtId="0" fontId="131" fillId="3" borderId="137" xfId="0" applyFont="1" applyFill="1" applyBorder="1" applyAlignment="1">
      <alignment horizontal="left" vertical="center" wrapText="1" indent="1"/>
    </xf>
    <xf numFmtId="0" fontId="130" fillId="3" borderId="137" xfId="0" applyFont="1" applyFill="1" applyBorder="1" applyAlignment="1">
      <alignment horizontal="left" vertical="center" wrapText="1"/>
    </xf>
    <xf numFmtId="0" fontId="130" fillId="3" borderId="138" xfId="0" applyFont="1" applyFill="1" applyBorder="1" applyAlignment="1">
      <alignment horizontal="left" vertical="center" wrapText="1"/>
    </xf>
    <xf numFmtId="0" fontId="131" fillId="0" borderId="137" xfId="0" applyFont="1" applyFill="1" applyBorder="1" applyAlignment="1">
      <alignment horizontal="left" vertical="center" wrapText="1" indent="1"/>
    </xf>
    <xf numFmtId="0" fontId="131" fillId="0" borderId="99" xfId="21414" applyFont="1" applyFill="1" applyBorder="1" applyAlignment="1">
      <alignment horizontal="left" vertical="center" wrapText="1" indent="1"/>
    </xf>
    <xf numFmtId="0" fontId="130" fillId="0" borderId="99" xfId="21414" applyFont="1" applyFill="1" applyBorder="1" applyAlignment="1">
      <alignment horizontal="left" vertical="center" wrapText="1"/>
    </xf>
    <xf numFmtId="0" fontId="132" fillId="0" borderId="99" xfId="21414" applyFont="1" applyFill="1" applyBorder="1" applyAlignment="1">
      <alignment horizontal="center" vertical="center" wrapText="1"/>
    </xf>
    <xf numFmtId="0" fontId="130" fillId="3" borderId="139" xfId="0" applyFont="1" applyFill="1" applyBorder="1" applyAlignment="1">
      <alignment horizontal="left" vertical="center" wrapText="1"/>
    </xf>
    <xf numFmtId="0" fontId="129" fillId="3" borderId="140" xfId="21414" applyFont="1" applyFill="1" applyBorder="1" applyAlignment="1">
      <alignment horizontal="left" vertical="center" wrapText="1" indent="1"/>
    </xf>
    <xf numFmtId="0" fontId="129" fillId="3" borderId="137" xfId="0" applyFont="1" applyFill="1" applyBorder="1" applyAlignment="1">
      <alignment horizontal="left" vertical="center" wrapText="1" indent="1"/>
    </xf>
    <xf numFmtId="0" fontId="129" fillId="0" borderId="140" xfId="21414" applyFont="1" applyFill="1" applyBorder="1" applyAlignment="1">
      <alignment horizontal="left" vertical="center" wrapText="1" indent="1"/>
    </xf>
    <xf numFmtId="0" fontId="130" fillId="0" borderId="137" xfId="0" applyFont="1" applyBorder="1" applyAlignment="1">
      <alignment horizontal="left" vertical="center" wrapText="1"/>
    </xf>
    <xf numFmtId="0" fontId="129" fillId="0" borderId="137" xfId="0" applyFont="1" applyBorder="1" applyAlignment="1">
      <alignment horizontal="left" vertical="center" wrapText="1" indent="1"/>
    </xf>
    <xf numFmtId="0" fontId="129" fillId="0" borderId="138" xfId="0" applyFont="1" applyBorder="1" applyAlignment="1">
      <alignment horizontal="left" vertical="center" wrapText="1" indent="1"/>
    </xf>
    <xf numFmtId="0" fontId="130" fillId="0" borderId="140" xfId="21414" applyFont="1" applyFill="1" applyBorder="1" applyAlignment="1">
      <alignment horizontal="left" vertical="center" wrapText="1"/>
    </xf>
    <xf numFmtId="0" fontId="130" fillId="3" borderId="140" xfId="21414" applyFont="1" applyFill="1" applyBorder="1" applyAlignment="1">
      <alignment horizontal="left" vertical="center" wrapText="1"/>
    </xf>
    <xf numFmtId="0" fontId="132" fillId="0" borderId="140" xfId="21414" applyFont="1" applyFill="1" applyBorder="1" applyAlignment="1">
      <alignment horizontal="center" vertical="center" wrapText="1"/>
    </xf>
    <xf numFmtId="0" fontId="130" fillId="0" borderId="140" xfId="21414" applyFont="1" applyBorder="1" applyAlignment="1">
      <alignment horizontal="left" vertical="center" wrapText="1"/>
    </xf>
    <xf numFmtId="0" fontId="129" fillId="0" borderId="137" xfId="0" applyFont="1" applyFill="1" applyBorder="1" applyAlignment="1">
      <alignment horizontal="left" vertical="center" wrapText="1" indent="1"/>
    </xf>
    <xf numFmtId="0" fontId="133" fillId="0" borderId="140" xfId="0" applyFont="1" applyBorder="1" applyAlignment="1">
      <alignment horizontal="left"/>
    </xf>
    <xf numFmtId="0" fontId="130"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0" fillId="0" borderId="145" xfId="0" applyFont="1" applyFill="1" applyBorder="1" applyAlignment="1">
      <alignment horizontal="justify" vertical="center" wrapText="1"/>
    </xf>
    <xf numFmtId="0" fontId="129" fillId="0" borderId="139" xfId="0" applyFont="1" applyFill="1" applyBorder="1" applyAlignment="1">
      <alignment horizontal="left" vertical="center" wrapText="1" indent="1"/>
    </xf>
    <xf numFmtId="0" fontId="129" fillId="0" borderId="138" xfId="0" applyFont="1" applyFill="1" applyBorder="1" applyAlignment="1">
      <alignment horizontal="left" vertical="center" wrapText="1" indent="1"/>
    </xf>
    <xf numFmtId="0" fontId="130" fillId="0" borderId="137" xfId="0" applyFont="1" applyFill="1" applyBorder="1" applyAlignment="1">
      <alignment horizontal="justify" vertical="center" wrapText="1"/>
    </xf>
    <xf numFmtId="0" fontId="128" fillId="0" borderId="137" xfId="0" applyFont="1" applyFill="1" applyBorder="1" applyAlignment="1">
      <alignment horizontal="justify" vertical="center" wrapText="1"/>
    </xf>
    <xf numFmtId="0" fontId="130" fillId="3" borderId="137" xfId="0" applyFont="1" applyFill="1" applyBorder="1" applyAlignment="1">
      <alignment horizontal="justify" vertical="center" wrapText="1"/>
    </xf>
    <xf numFmtId="0" fontId="130" fillId="0" borderId="138" xfId="0" applyFont="1" applyFill="1" applyBorder="1" applyAlignment="1">
      <alignment horizontal="justify" vertical="center" wrapText="1"/>
    </xf>
    <xf numFmtId="0" fontId="130" fillId="0" borderId="139" xfId="0" applyFont="1" applyFill="1" applyBorder="1" applyAlignment="1">
      <alignment horizontal="justify" vertical="center" wrapText="1"/>
    </xf>
    <xf numFmtId="0" fontId="130" fillId="0" borderId="140" xfId="21414" applyFont="1" applyFill="1" applyBorder="1" applyAlignment="1">
      <alignment horizontal="justify" vertical="center" wrapText="1"/>
    </xf>
    <xf numFmtId="0" fontId="131" fillId="0" borderId="131" xfId="0" applyFont="1" applyFill="1" applyBorder="1" applyAlignment="1">
      <alignment horizontal="left" vertical="center" wrapText="1" indent="1"/>
    </xf>
    <xf numFmtId="0" fontId="128" fillId="0" borderId="137" xfId="0" applyFont="1" applyFill="1" applyBorder="1" applyAlignment="1">
      <alignment vertical="center" wrapText="1"/>
    </xf>
    <xf numFmtId="0" fontId="130" fillId="0" borderId="137" xfId="0" applyFont="1" applyFill="1" applyBorder="1" applyAlignment="1">
      <alignment vertical="center" wrapText="1"/>
    </xf>
    <xf numFmtId="0" fontId="130"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4" fillId="0" borderId="140" xfId="0" applyFont="1" applyFill="1" applyBorder="1" applyAlignment="1" applyProtection="1">
      <alignment horizontal="left" vertical="center" indent="1"/>
      <protection locked="0"/>
    </xf>
    <xf numFmtId="0" fontId="135" fillId="0" borderId="140" xfId="0" applyFont="1" applyFill="1" applyBorder="1" applyAlignment="1" applyProtection="1">
      <alignment horizontal="left" vertical="center" indent="3"/>
      <protection locked="0"/>
    </xf>
    <xf numFmtId="0" fontId="136"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6" fontId="9" fillId="0" borderId="0" xfId="0" applyNumberFormat="1" applyFont="1" applyFill="1" applyBorder="1" applyAlignment="1" applyProtection="1">
      <alignment horizontal="right"/>
    </xf>
    <xf numFmtId="49" fontId="104" fillId="0" borderId="140" xfId="0" applyNumberFormat="1" applyFont="1" applyFill="1" applyBorder="1" applyAlignment="1">
      <alignment horizontal="right" vertical="center"/>
    </xf>
    <xf numFmtId="0" fontId="0" fillId="0" borderId="140" xfId="0" applyBorder="1" applyAlignment="1">
      <alignment horizontal="center" vertical="center"/>
    </xf>
    <xf numFmtId="43" fontId="4" fillId="0" borderId="140" xfId="7" applyFont="1" applyFill="1" applyBorder="1" applyAlignment="1">
      <alignment vertical="center" wrapText="1"/>
    </xf>
    <xf numFmtId="43" fontId="4" fillId="0" borderId="99" xfId="7" applyFont="1" applyBorder="1" applyAlignment="1">
      <alignment vertical="center"/>
    </xf>
    <xf numFmtId="0" fontId="0" fillId="0" borderId="144" xfId="0" applyBorder="1" applyAlignment="1">
      <alignment horizontal="center"/>
    </xf>
    <xf numFmtId="0" fontId="129" fillId="0" borderId="144" xfId="21414" applyFont="1" applyFill="1" applyBorder="1" applyAlignment="1">
      <alignment horizontal="left" vertical="center" wrapText="1" indent="1"/>
    </xf>
    <xf numFmtId="0" fontId="129" fillId="3" borderId="140" xfId="0" applyFont="1" applyFill="1" applyBorder="1" applyAlignment="1">
      <alignment horizontal="left" vertical="center" wrapText="1" indent="1"/>
    </xf>
    <xf numFmtId="170" fontId="22" fillId="0" borderId="140" xfId="0" applyNumberFormat="1" applyFont="1" applyBorder="1" applyAlignment="1">
      <alignment horizontal="center"/>
    </xf>
    <xf numFmtId="0" fontId="130" fillId="0" borderId="140" xfId="0" applyFont="1" applyBorder="1" applyAlignment="1">
      <alignment horizontal="left" vertical="center" wrapText="1"/>
    </xf>
    <xf numFmtId="0" fontId="22" fillId="0" borderId="140" xfId="0" applyFont="1" applyBorder="1"/>
    <xf numFmtId="0" fontId="129" fillId="0" borderId="140" xfId="0" applyFont="1" applyBorder="1" applyAlignment="1">
      <alignment horizontal="left" vertical="center" wrapText="1" indent="1"/>
    </xf>
    <xf numFmtId="0" fontId="129" fillId="0" borderId="140" xfId="0"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0" fontId="131" fillId="0" borderId="140" xfId="0" applyFont="1" applyFill="1" applyBorder="1" applyAlignment="1">
      <alignment horizontal="left" vertical="center" wrapText="1" indent="1"/>
    </xf>
    <xf numFmtId="170" fontId="22" fillId="0" borderId="140" xfId="0" applyNumberFormat="1" applyFont="1" applyFill="1" applyBorder="1" applyAlignment="1">
      <alignment horizontal="center"/>
    </xf>
    <xf numFmtId="170" fontId="21" fillId="0" borderId="56" xfId="0" applyNumberFormat="1" applyFont="1" applyFill="1" applyBorder="1" applyAlignment="1">
      <alignment horizontal="center"/>
    </xf>
    <xf numFmtId="170" fontId="17" fillId="0" borderId="58" xfId="0" applyNumberFormat="1" applyFont="1" applyFill="1" applyBorder="1" applyAlignment="1">
      <alignment horizontal="center"/>
    </xf>
    <xf numFmtId="0" fontId="118" fillId="0" borderId="140" xfId="0" applyFont="1" applyBorder="1"/>
    <xf numFmtId="49" fontId="120" fillId="0" borderId="140" xfId="5" applyNumberFormat="1" applyFont="1" applyFill="1" applyBorder="1" applyAlignment="1" applyProtection="1">
      <alignment horizontal="right" vertical="center"/>
      <protection locked="0"/>
    </xf>
    <xf numFmtId="0" fontId="119" fillId="3" borderId="140" xfId="13" applyFont="1" applyFill="1" applyBorder="1" applyAlignment="1" applyProtection="1">
      <alignment horizontal="left" vertical="center" wrapText="1"/>
      <protection locked="0"/>
    </xf>
    <xf numFmtId="49" fontId="119" fillId="3" borderId="140" xfId="5" applyNumberFormat="1" applyFont="1" applyFill="1" applyBorder="1" applyAlignment="1" applyProtection="1">
      <alignment horizontal="right" vertical="center"/>
      <protection locked="0"/>
    </xf>
    <xf numFmtId="0" fontId="119" fillId="0" borderId="140" xfId="13" applyFont="1" applyFill="1" applyBorder="1" applyAlignment="1" applyProtection="1">
      <alignment horizontal="left" vertical="center" wrapText="1"/>
      <protection locked="0"/>
    </xf>
    <xf numFmtId="49" fontId="119" fillId="0"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0" fontId="114" fillId="0" borderId="148" xfId="0" applyFont="1" applyBorder="1"/>
    <xf numFmtId="0" fontId="114" fillId="0" borderId="148" xfId="0" applyFont="1" applyFill="1" applyBorder="1"/>
    <xf numFmtId="0" fontId="114" fillId="0" borderId="148" xfId="0" applyFont="1" applyBorder="1" applyAlignment="1">
      <alignment horizontal="left" indent="8"/>
    </xf>
    <xf numFmtId="0" fontId="114" fillId="0" borderId="148" xfId="0" applyFont="1" applyBorder="1" applyAlignment="1">
      <alignment wrapText="1"/>
    </xf>
    <xf numFmtId="0" fontId="117" fillId="0" borderId="148" xfId="0" applyFont="1" applyBorder="1"/>
    <xf numFmtId="49" fontId="120" fillId="0" borderId="148" xfId="5" applyNumberFormat="1" applyFont="1" applyFill="1" applyBorder="1" applyAlignment="1" applyProtection="1">
      <alignment horizontal="right" vertical="center" wrapText="1"/>
      <protection locked="0"/>
    </xf>
    <xf numFmtId="49" fontId="119" fillId="3" borderId="148" xfId="5" applyNumberFormat="1" applyFont="1" applyFill="1" applyBorder="1" applyAlignment="1" applyProtection="1">
      <alignment horizontal="right" vertical="center" wrapText="1"/>
      <protection locked="0"/>
    </xf>
    <xf numFmtId="49" fontId="119" fillId="0" borderId="148" xfId="5" applyNumberFormat="1" applyFont="1" applyFill="1" applyBorder="1" applyAlignment="1" applyProtection="1">
      <alignment horizontal="right" vertical="center" wrapText="1"/>
      <protection locked="0"/>
    </xf>
    <xf numFmtId="0" fontId="114" fillId="0" borderId="148" xfId="0" applyFont="1" applyBorder="1" applyAlignment="1">
      <alignment horizontal="center" vertical="center" wrapText="1"/>
    </xf>
    <xf numFmtId="0" fontId="114" fillId="0" borderId="149" xfId="0" applyFont="1" applyFill="1" applyBorder="1" applyAlignment="1">
      <alignment horizontal="center" vertical="center" wrapText="1"/>
    </xf>
    <xf numFmtId="0" fontId="114" fillId="0" borderId="148"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8" xfId="0" applyFont="1" applyFill="1" applyBorder="1"/>
    <xf numFmtId="0" fontId="114" fillId="0" borderId="148" xfId="0" applyNumberFormat="1" applyFont="1" applyFill="1" applyBorder="1" applyAlignment="1">
      <alignment horizontal="left" vertical="center" wrapText="1"/>
    </xf>
    <xf numFmtId="0" fontId="117" fillId="0" borderId="148" xfId="0" applyFont="1" applyFill="1" applyBorder="1" applyAlignment="1">
      <alignment horizontal="left" wrapText="1" indent="1"/>
    </xf>
    <xf numFmtId="0" fontId="117" fillId="0" borderId="148" xfId="0" applyFont="1" applyFill="1" applyBorder="1" applyAlignment="1">
      <alignment horizontal="left" vertical="center" indent="1"/>
    </xf>
    <xf numFmtId="0" fontId="114" fillId="0" borderId="148" xfId="0" applyFont="1" applyFill="1" applyBorder="1" applyAlignment="1">
      <alignment horizontal="left" wrapText="1" indent="1"/>
    </xf>
    <xf numFmtId="0" fontId="114" fillId="0" borderId="148" xfId="0" applyFont="1" applyFill="1" applyBorder="1" applyAlignment="1">
      <alignment horizontal="left" indent="1"/>
    </xf>
    <xf numFmtId="0" fontId="114" fillId="0" borderId="148" xfId="0" applyFont="1" applyFill="1" applyBorder="1" applyAlignment="1">
      <alignment horizontal="left" wrapText="1" indent="4"/>
    </xf>
    <xf numFmtId="0" fontId="114" fillId="0" borderId="148" xfId="0" applyNumberFormat="1" applyFont="1" applyFill="1" applyBorder="1" applyAlignment="1">
      <alignment horizontal="left" indent="3"/>
    </xf>
    <xf numFmtId="0" fontId="117" fillId="0" borderId="148" xfId="0" applyFont="1" applyFill="1" applyBorder="1" applyAlignment="1">
      <alignment horizontal="left" indent="1"/>
    </xf>
    <xf numFmtId="0" fontId="118" fillId="0" borderId="148" xfId="0" applyFont="1" applyFill="1" applyBorder="1" applyAlignment="1">
      <alignment horizontal="center" vertical="center" wrapText="1"/>
    </xf>
    <xf numFmtId="0" fontId="114" fillId="80" borderId="148" xfId="0" applyFont="1" applyFill="1" applyBorder="1"/>
    <xf numFmtId="0" fontId="117" fillId="0" borderId="7" xfId="0" applyFont="1" applyBorder="1"/>
    <xf numFmtId="0" fontId="114" fillId="0" borderId="148" xfId="0" applyFont="1" applyFill="1" applyBorder="1" applyAlignment="1">
      <alignment horizontal="left" wrapText="1" indent="2"/>
    </xf>
    <xf numFmtId="0" fontId="114" fillId="0" borderId="148" xfId="0" applyFont="1" applyFill="1" applyBorder="1" applyAlignment="1">
      <alignment horizontal="left" wrapText="1"/>
    </xf>
    <xf numFmtId="0" fontId="114" fillId="0" borderId="0" xfId="0" applyFont="1" applyBorder="1"/>
    <xf numFmtId="0" fontId="117" fillId="84" borderId="148" xfId="0" applyFont="1" applyFill="1" applyBorder="1"/>
    <xf numFmtId="0" fontId="114" fillId="0" borderId="148" xfId="0" applyFont="1" applyBorder="1" applyAlignment="1">
      <alignment horizontal="left" indent="1"/>
    </xf>
    <xf numFmtId="0" fontId="114" fillId="0" borderId="148" xfId="0" applyFont="1" applyBorder="1" applyAlignment="1">
      <alignment horizontal="center"/>
    </xf>
    <xf numFmtId="0" fontId="114" fillId="0" borderId="0" xfId="0" applyFont="1" applyBorder="1" applyAlignment="1">
      <alignment horizontal="center" vertical="center"/>
    </xf>
    <xf numFmtId="0" fontId="114" fillId="0" borderId="148" xfId="0" applyFont="1" applyFill="1" applyBorder="1" applyAlignment="1">
      <alignment horizontal="center" vertical="center" wrapText="1"/>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3" xfId="0" applyFont="1" applyBorder="1" applyAlignment="1">
      <alignment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150"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0" xfId="0" applyFont="1" applyFill="1"/>
    <xf numFmtId="49" fontId="114" fillId="0" borderId="154" xfId="0" applyNumberFormat="1" applyFont="1" applyFill="1" applyBorder="1" applyAlignment="1">
      <alignment horizontal="left" wrapText="1" indent="1"/>
    </xf>
    <xf numFmtId="0" fontId="114" fillId="0" borderId="155" xfId="0" applyNumberFormat="1" applyFont="1" applyFill="1" applyBorder="1" applyAlignment="1">
      <alignment horizontal="left" wrapText="1" indent="1"/>
    </xf>
    <xf numFmtId="49" fontId="114" fillId="0" borderId="156" xfId="0" applyNumberFormat="1" applyFont="1" applyFill="1" applyBorder="1" applyAlignment="1">
      <alignment horizontal="left" wrapText="1" indent="1"/>
    </xf>
    <xf numFmtId="0" fontId="114" fillId="0" borderId="157" xfId="0" applyNumberFormat="1" applyFont="1" applyFill="1" applyBorder="1" applyAlignment="1">
      <alignment horizontal="left" wrapText="1" indent="1"/>
    </xf>
    <xf numFmtId="49" fontId="114" fillId="0" borderId="157" xfId="0" applyNumberFormat="1" applyFont="1" applyFill="1" applyBorder="1" applyAlignment="1">
      <alignment horizontal="left" wrapText="1" indent="3"/>
    </xf>
    <xf numFmtId="49" fontId="114" fillId="0" borderId="156" xfId="0" applyNumberFormat="1" applyFont="1" applyFill="1" applyBorder="1" applyAlignment="1">
      <alignment horizontal="left" wrapText="1" indent="3"/>
    </xf>
    <xf numFmtId="49" fontId="114" fillId="0" borderId="156" xfId="0" applyNumberFormat="1" applyFont="1" applyFill="1" applyBorder="1" applyAlignment="1">
      <alignment horizontal="left" wrapText="1" indent="2"/>
    </xf>
    <xf numFmtId="49" fontId="114" fillId="0" borderId="157" xfId="0" applyNumberFormat="1" applyFont="1" applyBorder="1" applyAlignment="1">
      <alignment horizontal="left" wrapText="1" indent="2"/>
    </xf>
    <xf numFmtId="49" fontId="114" fillId="0" borderId="156" xfId="0" applyNumberFormat="1" applyFont="1" applyFill="1" applyBorder="1" applyAlignment="1">
      <alignment horizontal="left" vertical="top" wrapText="1" indent="2"/>
    </xf>
    <xf numFmtId="49" fontId="114" fillId="0" borderId="156" xfId="0" applyNumberFormat="1" applyFont="1" applyFill="1" applyBorder="1" applyAlignment="1">
      <alignment horizontal="left" indent="1"/>
    </xf>
    <xf numFmtId="0" fontId="114" fillId="0" borderId="157" xfId="0" applyNumberFormat="1" applyFont="1" applyBorder="1" applyAlignment="1">
      <alignment horizontal="left" indent="1"/>
    </xf>
    <xf numFmtId="49" fontId="114" fillId="0" borderId="157" xfId="0" applyNumberFormat="1" applyFont="1" applyBorder="1" applyAlignment="1">
      <alignment horizontal="left" indent="1"/>
    </xf>
    <xf numFmtId="49" fontId="114" fillId="0" borderId="156" xfId="0" applyNumberFormat="1" applyFont="1" applyFill="1" applyBorder="1" applyAlignment="1">
      <alignment horizontal="left" indent="3"/>
    </xf>
    <xf numFmtId="49" fontId="114" fillId="0" borderId="157" xfId="0" applyNumberFormat="1" applyFont="1" applyBorder="1" applyAlignment="1">
      <alignment horizontal="left" indent="3"/>
    </xf>
    <xf numFmtId="0" fontId="114" fillId="0" borderId="157" xfId="0" applyFont="1" applyBorder="1" applyAlignment="1">
      <alignment horizontal="left" indent="2"/>
    </xf>
    <xf numFmtId="0" fontId="114" fillId="0" borderId="156" xfId="0" applyFont="1" applyBorder="1" applyAlignment="1">
      <alignment horizontal="left" indent="2"/>
    </xf>
    <xf numFmtId="0" fontId="114" fillId="0" borderId="157" xfId="0" applyFont="1" applyBorder="1" applyAlignment="1">
      <alignment horizontal="left" indent="1"/>
    </xf>
    <xf numFmtId="0" fontId="114" fillId="0" borderId="156" xfId="0" applyFont="1" applyBorder="1" applyAlignment="1">
      <alignment horizontal="left" indent="1"/>
    </xf>
    <xf numFmtId="0" fontId="117" fillId="0" borderId="64" xfId="0" applyFont="1" applyBorder="1"/>
    <xf numFmtId="0" fontId="114" fillId="0" borderId="69"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8"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8" xfId="0" applyFont="1" applyBorder="1"/>
    <xf numFmtId="0" fontId="117" fillId="0" borderId="148"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5" xfId="0" applyNumberFormat="1" applyFont="1" applyFill="1" applyBorder="1" applyAlignment="1">
      <alignment horizontal="left" vertical="center" wrapText="1" indent="1" readingOrder="1"/>
    </xf>
    <xf numFmtId="0" fontId="119" fillId="0" borderId="148" xfId="0" applyFont="1" applyBorder="1" applyAlignment="1">
      <alignment horizontal="left" indent="3"/>
    </xf>
    <xf numFmtId="0" fontId="117" fillId="0" borderId="148" xfId="0" applyNumberFormat="1" applyFont="1" applyFill="1" applyBorder="1" applyAlignment="1">
      <alignment vertical="center" wrapText="1" readingOrder="1"/>
    </xf>
    <xf numFmtId="0" fontId="119" fillId="0" borderId="148" xfId="0" applyFont="1" applyFill="1" applyBorder="1" applyAlignment="1">
      <alignment horizontal="left" indent="2"/>
    </xf>
    <xf numFmtId="0" fontId="114" fillId="0" borderId="136" xfId="0" applyNumberFormat="1" applyFont="1" applyFill="1" applyBorder="1" applyAlignment="1">
      <alignment vertical="center" wrapText="1" readingOrder="1"/>
    </xf>
    <xf numFmtId="0" fontId="119" fillId="0" borderId="149" xfId="0" applyFont="1" applyBorder="1" applyAlignment="1">
      <alignment horizontal="left" indent="2"/>
    </xf>
    <xf numFmtId="0" fontId="114" fillId="0" borderId="135" xfId="0" applyNumberFormat="1" applyFont="1" applyFill="1" applyBorder="1" applyAlignment="1">
      <alignment vertical="center" wrapText="1" readingOrder="1"/>
    </xf>
    <xf numFmtId="0" fontId="119" fillId="0" borderId="148" xfId="0" applyFont="1" applyBorder="1" applyAlignment="1">
      <alignment horizontal="left" indent="2"/>
    </xf>
    <xf numFmtId="0" fontId="114" fillId="0" borderId="134" xfId="0" applyNumberFormat="1" applyFont="1" applyFill="1" applyBorder="1" applyAlignment="1">
      <alignment vertical="center" wrapText="1" readingOrder="1"/>
    </xf>
    <xf numFmtId="0" fontId="137" fillId="0" borderId="7" xfId="0" applyFont="1" applyBorder="1"/>
    <xf numFmtId="0" fontId="104" fillId="0" borderId="148" xfId="0" applyFont="1" applyFill="1" applyBorder="1" applyAlignment="1">
      <alignment vertical="center" wrapText="1"/>
    </xf>
    <xf numFmtId="0" fontId="104" fillId="0" borderId="148" xfId="0" applyFont="1" applyBorder="1" applyAlignment="1">
      <alignment horizontal="left" vertical="center" wrapText="1"/>
    </xf>
    <xf numFmtId="0" fontId="104" fillId="0" borderId="148" xfId="0" applyFont="1" applyBorder="1" applyAlignment="1">
      <alignment horizontal="left" indent="2"/>
    </xf>
    <xf numFmtId="0" fontId="104" fillId="0" borderId="148" xfId="0" applyNumberFormat="1" applyFont="1" applyFill="1" applyBorder="1" applyAlignment="1">
      <alignment vertical="center" wrapText="1"/>
    </xf>
    <xf numFmtId="0" fontId="104" fillId="0" borderId="148" xfId="0" applyNumberFormat="1" applyFont="1" applyFill="1" applyBorder="1" applyAlignment="1">
      <alignment horizontal="left" vertical="center" indent="1"/>
    </xf>
    <xf numFmtId="0" fontId="104" fillId="0" borderId="148" xfId="0" applyNumberFormat="1" applyFont="1" applyFill="1" applyBorder="1" applyAlignment="1">
      <alignment horizontal="left" vertical="center" wrapText="1" indent="1"/>
    </xf>
    <xf numFmtId="0" fontId="104" fillId="0" borderId="148" xfId="0" applyNumberFormat="1" applyFont="1" applyFill="1" applyBorder="1" applyAlignment="1">
      <alignment horizontal="right" vertical="center"/>
    </xf>
    <xf numFmtId="49" fontId="104" fillId="0" borderId="148" xfId="0" applyNumberFormat="1" applyFont="1" applyFill="1" applyBorder="1" applyAlignment="1">
      <alignment horizontal="right" vertical="center"/>
    </xf>
    <xf numFmtId="0" fontId="104" fillId="0" borderId="149" xfId="0" applyNumberFormat="1" applyFont="1" applyFill="1" applyBorder="1" applyAlignment="1">
      <alignment horizontal="left" vertical="top" wrapText="1"/>
    </xf>
    <xf numFmtId="49" fontId="104" fillId="0" borderId="148" xfId="0" applyNumberFormat="1" applyFont="1" applyFill="1" applyBorder="1" applyAlignment="1">
      <alignment vertical="top" wrapText="1"/>
    </xf>
    <xf numFmtId="49" fontId="104" fillId="0" borderId="148" xfId="0" applyNumberFormat="1" applyFont="1" applyFill="1" applyBorder="1" applyAlignment="1">
      <alignment horizontal="left" vertical="top" wrapText="1" indent="2"/>
    </xf>
    <xf numFmtId="49" fontId="104" fillId="0" borderId="148" xfId="0" applyNumberFormat="1" applyFont="1" applyFill="1" applyBorder="1" applyAlignment="1">
      <alignment horizontal="left" vertical="center" wrapText="1" indent="3"/>
    </xf>
    <xf numFmtId="49" fontId="104" fillId="0" borderId="148" xfId="0" applyNumberFormat="1" applyFont="1" applyFill="1" applyBorder="1" applyAlignment="1">
      <alignment horizontal="left" wrapText="1" indent="2"/>
    </xf>
    <xf numFmtId="49" fontId="104" fillId="0" borderId="148" xfId="0" applyNumberFormat="1" applyFont="1" applyFill="1" applyBorder="1" applyAlignment="1">
      <alignment horizontal="left" vertical="top" wrapText="1"/>
    </xf>
    <xf numFmtId="49" fontId="104" fillId="0" borderId="148" xfId="0" applyNumberFormat="1" applyFont="1" applyFill="1" applyBorder="1" applyAlignment="1">
      <alignment horizontal="left" wrapText="1" indent="3"/>
    </xf>
    <xf numFmtId="49" fontId="104" fillId="0" borderId="148" xfId="0" applyNumberFormat="1" applyFont="1" applyFill="1" applyBorder="1" applyAlignment="1">
      <alignment vertical="center"/>
    </xf>
    <xf numFmtId="0" fontId="104" fillId="0" borderId="148" xfId="0" applyFont="1" applyFill="1" applyBorder="1" applyAlignment="1">
      <alignment horizontal="left" vertical="center" wrapText="1"/>
    </xf>
    <xf numFmtId="49" fontId="104" fillId="0" borderId="148" xfId="0" applyNumberFormat="1" applyFont="1" applyFill="1" applyBorder="1" applyAlignment="1">
      <alignment horizontal="left" indent="3"/>
    </xf>
    <xf numFmtId="0" fontId="104" fillId="0" borderId="148" xfId="0" applyFont="1" applyBorder="1" applyAlignment="1">
      <alignment horizontal="left" indent="1"/>
    </xf>
    <xf numFmtId="0" fontId="104" fillId="0" borderId="148" xfId="0" applyNumberFormat="1" applyFont="1" applyFill="1" applyBorder="1" applyAlignment="1">
      <alignment horizontal="left" vertical="center" wrapText="1"/>
    </xf>
    <xf numFmtId="0" fontId="104" fillId="0" borderId="148" xfId="0" applyFont="1" applyFill="1" applyBorder="1" applyAlignment="1">
      <alignment horizontal="left" wrapText="1" indent="2"/>
    </xf>
    <xf numFmtId="0" fontId="104" fillId="0" borderId="148" xfId="0" applyFont="1" applyBorder="1" applyAlignment="1">
      <alignment horizontal="left" vertical="top" wrapText="1"/>
    </xf>
    <xf numFmtId="0" fontId="103" fillId="0" borderId="7" xfId="0" applyFont="1" applyBorder="1" applyAlignment="1">
      <alignment wrapText="1"/>
    </xf>
    <xf numFmtId="0" fontId="104" fillId="0" borderId="148" xfId="0" applyFont="1" applyBorder="1" applyAlignment="1">
      <alignment horizontal="left" vertical="top" wrapText="1" indent="2"/>
    </xf>
    <xf numFmtId="0" fontId="104" fillId="0" borderId="148" xfId="0" applyFont="1" applyBorder="1" applyAlignment="1">
      <alignment horizontal="left" wrapText="1"/>
    </xf>
    <xf numFmtId="0" fontId="104" fillId="0" borderId="148" xfId="12672" applyFont="1" applyFill="1" applyBorder="1" applyAlignment="1">
      <alignment horizontal="left" vertical="center" wrapText="1" indent="2"/>
    </xf>
    <xf numFmtId="0" fontId="104" fillId="0" borderId="148" xfId="0" applyFont="1" applyBorder="1" applyAlignment="1">
      <alignment horizontal="left" wrapText="1" indent="2"/>
    </xf>
    <xf numFmtId="0" fontId="104" fillId="0" borderId="148" xfId="0" applyFont="1" applyBorder="1" applyAlignment="1">
      <alignment wrapText="1"/>
    </xf>
    <xf numFmtId="0" fontId="104" fillId="0" borderId="148" xfId="0" applyFont="1" applyBorder="1"/>
    <xf numFmtId="0" fontId="104" fillId="0" borderId="148" xfId="12672" applyFont="1" applyFill="1" applyBorder="1" applyAlignment="1">
      <alignment horizontal="left" vertical="center" wrapText="1"/>
    </xf>
    <xf numFmtId="0" fontId="103" fillId="0" borderId="148" xfId="0" applyFont="1" applyBorder="1" applyAlignment="1">
      <alignment wrapText="1"/>
    </xf>
    <xf numFmtId="0" fontId="104" fillId="0" borderId="150" xfId="0" applyNumberFormat="1" applyFont="1" applyFill="1" applyBorder="1" applyAlignment="1">
      <alignment horizontal="left" vertical="center" wrapText="1"/>
    </xf>
    <xf numFmtId="0" fontId="104" fillId="3" borderId="148" xfId="5" applyNumberFormat="1" applyFont="1" applyFill="1" applyBorder="1" applyAlignment="1" applyProtection="1">
      <alignment horizontal="right" vertical="center"/>
      <protection locked="0"/>
    </xf>
    <xf numFmtId="2" fontId="104" fillId="3" borderId="148" xfId="5" applyNumberFormat="1" applyFont="1" applyFill="1" applyBorder="1" applyAlignment="1" applyProtection="1">
      <alignment horizontal="right" vertical="center"/>
      <protection locked="0"/>
    </xf>
    <xf numFmtId="0" fontId="104" fillId="0" borderId="148" xfId="0" applyNumberFormat="1" applyFont="1" applyFill="1" applyBorder="1" applyAlignment="1">
      <alignment vertical="center"/>
    </xf>
    <xf numFmtId="0" fontId="104" fillId="0" borderId="150" xfId="13" applyFont="1" applyFill="1" applyBorder="1" applyAlignment="1" applyProtection="1">
      <alignment horizontal="left" vertical="top" wrapText="1"/>
      <protection locked="0"/>
    </xf>
    <xf numFmtId="0" fontId="104" fillId="0" borderId="151" xfId="13" applyFont="1" applyFill="1" applyBorder="1" applyAlignment="1" applyProtection="1">
      <alignment horizontal="left" vertical="top" wrapText="1"/>
      <protection locked="0"/>
    </xf>
    <xf numFmtId="0" fontId="104" fillId="0" borderId="149"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9" xfId="0" applyFont="1" applyBorder="1" applyAlignment="1">
      <alignment horizontal="left" indent="2"/>
    </xf>
    <xf numFmtId="0" fontId="104" fillId="0" borderId="136" xfId="0" applyNumberFormat="1" applyFont="1" applyFill="1" applyBorder="1" applyAlignment="1">
      <alignment horizontal="left" vertical="center" wrapText="1" readingOrder="1"/>
    </xf>
    <xf numFmtId="0" fontId="104" fillId="0" borderId="148" xfId="0" applyNumberFormat="1" applyFont="1" applyFill="1" applyBorder="1" applyAlignment="1">
      <alignment horizontal="left" vertical="center" wrapText="1" readingOrder="1"/>
    </xf>
    <xf numFmtId="170" fontId="18" fillId="85" borderId="57" xfId="0" applyNumberFormat="1" applyFont="1" applyFill="1" applyBorder="1" applyAlignment="1">
      <alignment horizontal="center"/>
    </xf>
    <xf numFmtId="0" fontId="2" fillId="0" borderId="16" xfId="0" applyNumberFormat="1" applyFont="1" applyFill="1" applyBorder="1" applyAlignment="1">
      <alignment horizontal="left" vertical="center" wrapText="1" indent="1"/>
    </xf>
    <xf numFmtId="172" fontId="25" fillId="37" borderId="63" xfId="20" applyBorder="1"/>
    <xf numFmtId="0" fontId="11" fillId="0" borderId="99" xfId="17" applyFill="1" applyBorder="1" applyAlignment="1" applyProtection="1">
      <alignment horizontal="left" vertical="top" wrapText="1"/>
    </xf>
    <xf numFmtId="0" fontId="7" fillId="83" borderId="148"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4" fillId="0" borderId="0" xfId="0" applyFont="1" applyFill="1" applyBorder="1" applyAlignment="1">
      <alignment wrapText="1"/>
    </xf>
    <xf numFmtId="43" fontId="143" fillId="0" borderId="0" xfId="7" applyFont="1"/>
    <xf numFmtId="167" fontId="143" fillId="0" borderId="0" xfId="7" applyNumberFormat="1" applyFont="1" applyBorder="1"/>
    <xf numFmtId="43" fontId="118" fillId="0" borderId="148" xfId="7" applyFont="1" applyBorder="1"/>
    <xf numFmtId="43" fontId="115" fillId="0" borderId="148" xfId="7" applyFont="1" applyBorder="1"/>
    <xf numFmtId="167" fontId="115" fillId="0" borderId="0" xfId="7" applyNumberFormat="1" applyFont="1" applyBorder="1"/>
    <xf numFmtId="167" fontId="114" fillId="36" borderId="148" xfId="7" applyNumberFormat="1" applyFont="1" applyFill="1" applyBorder="1"/>
    <xf numFmtId="167" fontId="114" fillId="0" borderId="148" xfId="7" applyNumberFormat="1" applyFont="1" applyFill="1" applyBorder="1"/>
    <xf numFmtId="167" fontId="118" fillId="0" borderId="140" xfId="7" applyNumberFormat="1" applyFont="1" applyFill="1" applyBorder="1" applyAlignment="1">
      <alignment horizontal="center" vertical="center" wrapText="1"/>
    </xf>
    <xf numFmtId="167" fontId="118" fillId="0" borderId="140" xfId="7" applyNumberFormat="1" applyFont="1" applyBorder="1" applyAlignment="1">
      <alignment horizontal="center" vertical="center" wrapText="1"/>
    </xf>
    <xf numFmtId="43" fontId="115" fillId="0" borderId="0" xfId="7" applyFont="1"/>
    <xf numFmtId="167" fontId="118" fillId="0" borderId="140" xfId="7" applyNumberFormat="1" applyFont="1" applyBorder="1"/>
    <xf numFmtId="197" fontId="111" fillId="79" borderId="99" xfId="20961" applyNumberFormat="1" applyFont="1" applyFill="1" applyBorder="1" applyAlignment="1" applyProtection="1">
      <alignment horizontal="right" vertical="center"/>
    </xf>
    <xf numFmtId="43" fontId="4" fillId="36" borderId="24" xfId="7" applyFont="1" applyFill="1" applyBorder="1"/>
    <xf numFmtId="43" fontId="4" fillId="36" borderId="23" xfId="7" applyFont="1" applyFill="1" applyBorder="1"/>
    <xf numFmtId="43" fontId="4" fillId="0" borderId="20" xfId="7" applyFont="1" applyBorder="1" applyAlignment="1"/>
    <xf numFmtId="43" fontId="21" fillId="0" borderId="140" xfId="7" applyFont="1" applyFill="1" applyBorder="1" applyAlignment="1">
      <alignment horizontal="center" vertical="center"/>
    </xf>
    <xf numFmtId="43" fontId="21" fillId="0" borderId="14" xfId="7" applyFont="1" applyFill="1" applyBorder="1" applyAlignment="1">
      <alignment horizontal="center" vertical="center"/>
    </xf>
    <xf numFmtId="43" fontId="18" fillId="0" borderId="13" xfId="7" applyFont="1" applyBorder="1" applyAlignment="1">
      <alignment vertical="center"/>
    </xf>
    <xf numFmtId="43" fontId="21" fillId="0" borderId="13" xfId="7" applyFont="1" applyBorder="1" applyAlignment="1">
      <alignment horizontal="center" vertical="center"/>
    </xf>
    <xf numFmtId="43" fontId="21" fillId="0" borderId="15" xfId="7" applyFont="1" applyBorder="1" applyAlignment="1">
      <alignment horizontal="center" vertical="center"/>
    </xf>
    <xf numFmtId="43" fontId="22" fillId="0" borderId="13" xfId="7" applyFont="1" applyBorder="1" applyAlignment="1">
      <alignment horizontal="center" vertical="center"/>
    </xf>
    <xf numFmtId="43" fontId="22" fillId="0" borderId="12" xfId="7" applyFont="1" applyFill="1" applyBorder="1" applyAlignment="1">
      <alignment horizontal="center" vertical="center"/>
    </xf>
    <xf numFmtId="43" fontId="102" fillId="0" borderId="12" xfId="7" applyFont="1" applyBorder="1" applyAlignment="1">
      <alignment horizontal="center" vertical="center"/>
    </xf>
    <xf numFmtId="43" fontId="18" fillId="0" borderId="12" xfId="7" applyFont="1" applyBorder="1" applyAlignment="1">
      <alignment horizontal="center" vertical="center"/>
    </xf>
    <xf numFmtId="43" fontId="21" fillId="0" borderId="12" xfId="7" applyFont="1" applyBorder="1" applyAlignment="1">
      <alignment horizontal="center" vertical="center"/>
    </xf>
    <xf numFmtId="43" fontId="22" fillId="0" borderId="12" xfId="7" applyFont="1" applyBorder="1" applyAlignment="1">
      <alignment horizontal="center" vertical="center"/>
    </xf>
    <xf numFmtId="43" fontId="21" fillId="0" borderId="30" xfId="7" applyFont="1" applyBorder="1" applyAlignment="1">
      <alignment horizontal="center" vertical="center"/>
    </xf>
    <xf numFmtId="43" fontId="4" fillId="0" borderId="59" xfId="7" applyFont="1" applyFill="1" applyBorder="1" applyAlignment="1">
      <alignment horizontal="center" vertical="center" wrapText="1"/>
    </xf>
    <xf numFmtId="43" fontId="9" fillId="0" borderId="0" xfId="7" applyFont="1" applyFill="1" applyBorder="1" applyAlignment="1" applyProtection="1"/>
    <xf numFmtId="43" fontId="22" fillId="0" borderId="0" xfId="7" applyFont="1"/>
    <xf numFmtId="43" fontId="22" fillId="0" borderId="140" xfId="7" applyFont="1" applyBorder="1" applyAlignment="1">
      <alignment horizontal="center" vertical="center"/>
    </xf>
    <xf numFmtId="43" fontId="21" fillId="0" borderId="140" xfId="7" applyFont="1" applyBorder="1" applyAlignment="1">
      <alignment horizontal="center" vertical="center"/>
    </xf>
    <xf numFmtId="43" fontId="21" fillId="0" borderId="140" xfId="7" applyFont="1" applyBorder="1" applyAlignment="1">
      <alignment horizontal="center"/>
    </xf>
    <xf numFmtId="43" fontId="7" fillId="0" borderId="24" xfId="7" applyFont="1" applyFill="1" applyBorder="1" applyAlignment="1" applyProtection="1">
      <alignment horizontal="right" vertical="center"/>
    </xf>
    <xf numFmtId="43" fontId="6" fillId="36" borderId="114" xfId="7" applyFont="1" applyFill="1" applyBorder="1" applyAlignment="1">
      <alignment horizontal="center" vertical="center" wrapText="1"/>
    </xf>
    <xf numFmtId="43" fontId="107" fillId="0" borderId="114" xfId="7" applyFont="1" applyFill="1" applyBorder="1" applyAlignment="1">
      <alignment horizontal="right" vertical="center" wrapText="1"/>
    </xf>
    <xf numFmtId="43" fontId="6" fillId="36" borderId="114" xfId="7" applyFont="1" applyFill="1" applyBorder="1" applyAlignment="1">
      <alignment horizontal="right" vertical="center" wrapText="1"/>
    </xf>
    <xf numFmtId="43" fontId="4" fillId="0" borderId="114" xfId="7" applyFont="1" applyFill="1" applyBorder="1" applyAlignment="1">
      <alignment horizontal="right" vertical="center" wrapText="1"/>
    </xf>
    <xf numFmtId="196" fontId="0" fillId="0" borderId="0" xfId="0" applyNumberFormat="1" applyAlignment="1">
      <alignment wrapText="1"/>
    </xf>
    <xf numFmtId="170" fontId="0" fillId="0" borderId="0" xfId="0" applyNumberFormat="1"/>
    <xf numFmtId="3" fontId="4" fillId="0" borderId="0" xfId="0" applyNumberFormat="1" applyFont="1"/>
    <xf numFmtId="167" fontId="115" fillId="0" borderId="0" xfId="0" applyNumberFormat="1" applyFont="1"/>
    <xf numFmtId="167" fontId="114" fillId="0" borderId="0" xfId="7" applyNumberFormat="1" applyFont="1"/>
    <xf numFmtId="167" fontId="117" fillId="0" borderId="148" xfId="7" applyNumberFormat="1" applyFont="1" applyBorder="1"/>
    <xf numFmtId="167" fontId="114" fillId="0" borderId="148" xfId="7" applyNumberFormat="1" applyFont="1" applyBorder="1"/>
    <xf numFmtId="10" fontId="4" fillId="0" borderId="167" xfId="20961" applyNumberFormat="1" applyFont="1" applyBorder="1" applyAlignment="1"/>
    <xf numFmtId="10" fontId="4" fillId="0" borderId="169" xfId="20961" applyNumberFormat="1" applyFont="1" applyBorder="1" applyAlignment="1"/>
    <xf numFmtId="0" fontId="9" fillId="0" borderId="167" xfId="0" applyFont="1" applyBorder="1" applyAlignment="1"/>
    <xf numFmtId="0" fontId="9" fillId="0" borderId="172" xfId="0" applyFont="1" applyBorder="1" applyAlignment="1">
      <alignment wrapText="1"/>
    </xf>
    <xf numFmtId="0" fontId="4" fillId="0" borderId="167" xfId="0" applyFont="1" applyBorder="1" applyAlignment="1"/>
    <xf numFmtId="0" fontId="13" fillId="0" borderId="172" xfId="0" applyFont="1" applyBorder="1" applyAlignment="1">
      <alignment wrapText="1"/>
    </xf>
    <xf numFmtId="0" fontId="9" fillId="0" borderId="173" xfId="0" applyFont="1" applyBorder="1" applyAlignment="1">
      <alignment vertical="center"/>
    </xf>
    <xf numFmtId="167" fontId="0" fillId="36" borderId="166" xfId="7" applyNumberFormat="1" applyFont="1" applyFill="1" applyBorder="1" applyAlignment="1">
      <alignment vertical="center"/>
    </xf>
    <xf numFmtId="167" fontId="0" fillId="0" borderId="166" xfId="7" applyNumberFormat="1" applyFont="1" applyBorder="1" applyAlignment="1">
      <alignment vertical="center"/>
    </xf>
    <xf numFmtId="167" fontId="0" fillId="36" borderId="166" xfId="7" applyNumberFormat="1" applyFont="1" applyFill="1" applyBorder="1"/>
    <xf numFmtId="0" fontId="0" fillId="0" borderId="0" xfId="0"/>
    <xf numFmtId="0" fontId="2" fillId="0" borderId="0" xfId="0" applyFont="1"/>
    <xf numFmtId="0" fontId="141" fillId="0" borderId="0" xfId="0" applyFont="1"/>
    <xf numFmtId="0" fontId="142" fillId="0" borderId="0" xfId="0" applyFont="1"/>
    <xf numFmtId="0" fontId="142" fillId="0" borderId="0" xfId="0" applyFont="1" applyFill="1"/>
    <xf numFmtId="0" fontId="142" fillId="0" borderId="148" xfId="0" applyFont="1" applyBorder="1"/>
    <xf numFmtId="172" fontId="25" fillId="37" borderId="0" xfId="20" applyBorder="1"/>
    <xf numFmtId="14" fontId="142" fillId="0" borderId="0" xfId="0" applyNumberFormat="1" applyFont="1"/>
    <xf numFmtId="172" fontId="25" fillId="37" borderId="0" xfId="20" applyFont="1" applyBorder="1"/>
    <xf numFmtId="167" fontId="115" fillId="0" borderId="0" xfId="7" applyNumberFormat="1" applyFont="1"/>
    <xf numFmtId="167" fontId="115" fillId="0" borderId="0" xfId="7" applyNumberFormat="1" applyFont="1" applyFill="1"/>
    <xf numFmtId="196" fontId="9" fillId="2" borderId="170" xfId="0" applyNumberFormat="1" applyFont="1" applyFill="1" applyBorder="1" applyAlignment="1" applyProtection="1">
      <alignment vertical="center"/>
      <protection locked="0"/>
    </xf>
    <xf numFmtId="196" fontId="7" fillId="0" borderId="166" xfId="0" applyNumberFormat="1" applyFont="1" applyFill="1" applyBorder="1" applyAlignment="1" applyProtection="1">
      <alignment vertical="center" wrapText="1"/>
      <protection locked="0"/>
    </xf>
    <xf numFmtId="196" fontId="7" fillId="0" borderId="166" xfId="0" applyNumberFormat="1" applyFont="1" applyFill="1" applyBorder="1" applyAlignment="1" applyProtection="1">
      <alignment horizontal="right" vertical="center" wrapText="1"/>
      <protection locked="0"/>
    </xf>
    <xf numFmtId="10" fontId="7" fillId="0" borderId="166" xfId="20961" applyNumberFormat="1" applyFont="1" applyBorder="1" applyAlignment="1" applyProtection="1">
      <alignment vertical="center" wrapText="1"/>
      <protection locked="0"/>
    </xf>
    <xf numFmtId="10" fontId="9" fillId="2" borderId="166" xfId="20961" applyNumberFormat="1" applyFont="1" applyFill="1" applyBorder="1" applyAlignment="1" applyProtection="1">
      <alignment vertical="center"/>
      <protection locked="0"/>
    </xf>
    <xf numFmtId="196" fontId="9" fillId="2" borderId="166" xfId="0" applyNumberFormat="1" applyFont="1" applyFill="1" applyBorder="1" applyAlignment="1" applyProtection="1">
      <alignment vertical="center"/>
      <protection locked="0"/>
    </xf>
    <xf numFmtId="167" fontId="118" fillId="82" borderId="166" xfId="7" applyNumberFormat="1" applyFont="1" applyFill="1" applyBorder="1"/>
    <xf numFmtId="167" fontId="115" fillId="86" borderId="166" xfId="7" applyNumberFormat="1" applyFont="1" applyFill="1" applyBorder="1"/>
    <xf numFmtId="196" fontId="4" fillId="0" borderId="0" xfId="0" applyNumberFormat="1" applyFont="1"/>
    <xf numFmtId="167" fontId="0" fillId="0" borderId="166" xfId="7" applyNumberFormat="1" applyFont="1" applyBorder="1"/>
    <xf numFmtId="167" fontId="117" fillId="0" borderId="69" xfId="7" applyNumberFormat="1" applyFont="1" applyBorder="1"/>
    <xf numFmtId="167" fontId="10" fillId="0" borderId="166" xfId="0" applyNumberFormat="1" applyFont="1" applyFill="1" applyBorder="1" applyAlignment="1">
      <alignment horizontal="left" vertical="center" wrapText="1"/>
    </xf>
    <xf numFmtId="43" fontId="145" fillId="0" borderId="0" xfId="0" applyNumberFormat="1" applyFont="1"/>
    <xf numFmtId="167" fontId="114" fillId="0" borderId="0" xfId="0" applyNumberFormat="1" applyFont="1" applyBorder="1"/>
    <xf numFmtId="10" fontId="9" fillId="0" borderId="174" xfId="20961" applyNumberFormat="1" applyFont="1" applyFill="1" applyBorder="1" applyAlignment="1" applyProtection="1">
      <alignment vertical="center"/>
      <protection locked="0"/>
    </xf>
    <xf numFmtId="10" fontId="9" fillId="2" borderId="174" xfId="20961" applyNumberFormat="1" applyFont="1" applyFill="1" applyBorder="1" applyAlignment="1" applyProtection="1">
      <alignment vertical="center"/>
      <protection locked="0"/>
    </xf>
    <xf numFmtId="3" fontId="20" fillId="0" borderId="166" xfId="0" applyNumberFormat="1" applyFont="1" applyBorder="1" applyAlignment="1">
      <alignment vertical="center" wrapText="1"/>
    </xf>
    <xf numFmtId="3" fontId="20" fillId="0" borderId="172" xfId="0" applyNumberFormat="1" applyFont="1" applyBorder="1" applyAlignment="1">
      <alignment vertical="center" wrapText="1"/>
    </xf>
    <xf numFmtId="3" fontId="20" fillId="0" borderId="166" xfId="0" applyNumberFormat="1" applyFont="1" applyFill="1" applyBorder="1" applyAlignment="1">
      <alignment vertical="center" wrapText="1"/>
    </xf>
    <xf numFmtId="10" fontId="107" fillId="0" borderId="166" xfId="20961" applyNumberFormat="1" applyFont="1" applyFill="1" applyBorder="1" applyAlignment="1">
      <alignment horizontal="left" vertical="center" wrapText="1"/>
    </xf>
    <xf numFmtId="43" fontId="4" fillId="0" borderId="0" xfId="0" applyNumberFormat="1" applyFont="1" applyFill="1" applyAlignment="1">
      <alignment horizontal="left" vertical="center"/>
    </xf>
    <xf numFmtId="43" fontId="4" fillId="0" borderId="166" xfId="7" applyFont="1" applyBorder="1" applyAlignment="1"/>
    <xf numFmtId="43" fontId="4" fillId="0" borderId="172" xfId="7" applyFont="1" applyBorder="1" applyAlignment="1"/>
    <xf numFmtId="196" fontId="4" fillId="0" borderId="166" xfId="0" applyNumberFormat="1" applyFont="1" applyBorder="1" applyAlignment="1"/>
    <xf numFmtId="196" fontId="4" fillId="0" borderId="167" xfId="0" applyNumberFormat="1" applyFont="1" applyBorder="1" applyAlignment="1"/>
    <xf numFmtId="196" fontId="4" fillId="0" borderId="173" xfId="0" applyNumberFormat="1" applyFont="1" applyBorder="1" applyAlignment="1"/>
    <xf numFmtId="196" fontId="4" fillId="0" borderId="169" xfId="0" applyNumberFormat="1" applyFont="1" applyBorder="1" applyAlignment="1">
      <alignment wrapText="1"/>
    </xf>
    <xf numFmtId="196" fontId="4" fillId="0" borderId="169" xfId="0" applyNumberFormat="1" applyFont="1" applyBorder="1" applyAlignment="1"/>
    <xf numFmtId="196" fontId="4" fillId="0" borderId="166" xfId="0" applyNumberFormat="1" applyFont="1" applyBorder="1"/>
    <xf numFmtId="196" fontId="4" fillId="0" borderId="166" xfId="0" applyNumberFormat="1" applyFont="1" applyFill="1" applyBorder="1"/>
    <xf numFmtId="196" fontId="4" fillId="0" borderId="172" xfId="0" applyNumberFormat="1" applyFont="1" applyBorder="1"/>
    <xf numFmtId="196" fontId="4" fillId="0" borderId="172" xfId="0" applyNumberFormat="1" applyFont="1" applyFill="1" applyBorder="1"/>
    <xf numFmtId="167" fontId="111" fillId="0" borderId="166" xfId="948" applyNumberFormat="1" applyFont="1" applyFill="1" applyBorder="1" applyAlignment="1" applyProtection="1">
      <alignment horizontal="right" vertical="center"/>
      <protection locked="0"/>
    </xf>
    <xf numFmtId="167" fontId="118" fillId="0" borderId="166" xfId="7" applyNumberFormat="1" applyFont="1" applyBorder="1"/>
    <xf numFmtId="167" fontId="114" fillId="0" borderId="166" xfId="7" applyNumberFormat="1" applyFont="1" applyBorder="1"/>
    <xf numFmtId="167" fontId="114" fillId="0" borderId="166" xfId="7" applyNumberFormat="1" applyFont="1" applyFill="1" applyBorder="1"/>
    <xf numFmtId="167" fontId="117" fillId="0" borderId="166" xfId="7" applyNumberFormat="1" applyFont="1" applyBorder="1"/>
    <xf numFmtId="196" fontId="9" fillId="0" borderId="166" xfId="0" applyNumberFormat="1" applyFont="1" applyFill="1" applyBorder="1" applyAlignment="1" applyProtection="1">
      <alignment horizontal="right"/>
    </xf>
    <xf numFmtId="196" fontId="9" fillId="36" borderId="166" xfId="0" applyNumberFormat="1" applyFont="1" applyFill="1" applyBorder="1" applyAlignment="1" applyProtection="1">
      <alignment horizontal="right"/>
    </xf>
    <xf numFmtId="196" fontId="9" fillId="36" borderId="167" xfId="0" applyNumberFormat="1" applyFont="1" applyFill="1" applyBorder="1" applyAlignment="1" applyProtection="1">
      <alignment horizontal="right"/>
    </xf>
    <xf numFmtId="43" fontId="118" fillId="0" borderId="166" xfId="7" applyFont="1" applyBorder="1"/>
    <xf numFmtId="43" fontId="115" fillId="0" borderId="166" xfId="7" applyFont="1" applyBorder="1"/>
    <xf numFmtId="167" fontId="25" fillId="37" borderId="0" xfId="7" applyNumberFormat="1" applyFont="1" applyFill="1" applyBorder="1"/>
    <xf numFmtId="167" fontId="4" fillId="0" borderId="53" xfId="7" applyNumberFormat="1" applyFont="1" applyFill="1" applyBorder="1" applyAlignment="1">
      <alignment vertical="center"/>
    </xf>
    <xf numFmtId="167" fontId="4" fillId="0" borderId="64" xfId="7" applyNumberFormat="1" applyFont="1" applyFill="1" applyBorder="1" applyAlignment="1">
      <alignment vertical="center"/>
    </xf>
    <xf numFmtId="167" fontId="4" fillId="3" borderId="97" xfId="7" applyNumberFormat="1" applyFont="1" applyFill="1" applyBorder="1" applyAlignment="1">
      <alignment vertical="center"/>
    </xf>
    <xf numFmtId="167" fontId="4" fillId="3" borderId="21" xfId="7" applyNumberFormat="1" applyFont="1" applyFill="1" applyBorder="1" applyAlignment="1">
      <alignment vertical="center"/>
    </xf>
    <xf numFmtId="167" fontId="4" fillId="0" borderId="100" xfId="7" applyNumberFormat="1" applyFont="1" applyFill="1" applyBorder="1" applyAlignment="1">
      <alignment vertical="center"/>
    </xf>
    <xf numFmtId="167" fontId="4" fillId="0" borderId="114" xfId="7" applyNumberFormat="1" applyFont="1" applyFill="1" applyBorder="1" applyAlignment="1">
      <alignment vertical="center"/>
    </xf>
    <xf numFmtId="167" fontId="4" fillId="0" borderId="23" xfId="7" applyNumberFormat="1" applyFont="1" applyFill="1" applyBorder="1" applyAlignment="1">
      <alignment vertical="center"/>
    </xf>
    <xf numFmtId="167" fontId="4" fillId="0" borderId="25" xfId="7" applyNumberFormat="1" applyFont="1" applyFill="1" applyBorder="1" applyAlignment="1">
      <alignment vertical="center"/>
    </xf>
    <xf numFmtId="167" fontId="4" fillId="0" borderId="24" xfId="7" applyNumberFormat="1" applyFont="1" applyFill="1" applyBorder="1" applyAlignment="1">
      <alignment vertical="center"/>
    </xf>
    <xf numFmtId="167" fontId="4" fillId="0" borderId="26" xfId="7" applyNumberFormat="1" applyFont="1" applyFill="1" applyBorder="1" applyAlignment="1">
      <alignment vertical="center"/>
    </xf>
    <xf numFmtId="167" fontId="4" fillId="0" borderId="18" xfId="7" applyNumberFormat="1" applyFont="1" applyFill="1" applyBorder="1" applyAlignment="1">
      <alignment vertical="center"/>
    </xf>
    <xf numFmtId="167" fontId="4" fillId="0" borderId="95" xfId="7" applyNumberFormat="1" applyFont="1" applyFill="1" applyBorder="1" applyAlignment="1">
      <alignment vertical="center"/>
    </xf>
    <xf numFmtId="167" fontId="4" fillId="0" borderId="108" xfId="7" applyNumberFormat="1" applyFont="1" applyFill="1" applyBorder="1" applyAlignment="1">
      <alignment vertical="center"/>
    </xf>
    <xf numFmtId="9" fontId="4" fillId="0" borderId="93" xfId="20961" applyFont="1" applyFill="1" applyBorder="1" applyAlignment="1">
      <alignment vertical="center"/>
    </xf>
    <xf numFmtId="9" fontId="4" fillId="0" borderId="110" xfId="20961" applyFont="1" applyFill="1" applyBorder="1" applyAlignment="1">
      <alignment vertical="center"/>
    </xf>
    <xf numFmtId="14" fontId="4" fillId="0" borderId="0" xfId="0" applyNumberFormat="1" applyFont="1" applyAlignment="1">
      <alignment horizontal="left"/>
    </xf>
    <xf numFmtId="43" fontId="4" fillId="0" borderId="166" xfId="7" applyFont="1" applyFill="1" applyBorder="1" applyAlignment="1">
      <alignment vertical="center" wrapText="1"/>
    </xf>
    <xf numFmtId="43" fontId="4" fillId="0" borderId="166" xfId="7" applyFont="1" applyBorder="1" applyAlignment="1">
      <alignment vertical="center"/>
    </xf>
    <xf numFmtId="196" fontId="7" fillId="3" borderId="167" xfId="2" applyNumberFormat="1" applyFont="1" applyFill="1" applyBorder="1" applyAlignment="1" applyProtection="1">
      <alignment vertical="top"/>
      <protection locked="0"/>
    </xf>
    <xf numFmtId="196" fontId="7" fillId="36" borderId="167" xfId="2" applyNumberFormat="1" applyFont="1" applyFill="1" applyBorder="1" applyAlignment="1" applyProtection="1">
      <alignment vertical="top" wrapText="1"/>
    </xf>
    <xf numFmtId="196" fontId="7" fillId="3" borderId="167" xfId="2" applyNumberFormat="1" applyFont="1" applyFill="1" applyBorder="1" applyAlignment="1" applyProtection="1">
      <alignment vertical="top" wrapText="1"/>
      <protection locked="0"/>
    </xf>
    <xf numFmtId="196" fontId="7" fillId="36" borderId="167" xfId="2" applyNumberFormat="1" applyFont="1" applyFill="1" applyBorder="1" applyAlignment="1" applyProtection="1">
      <alignment vertical="top" wrapText="1"/>
      <protection locked="0"/>
    </xf>
    <xf numFmtId="10" fontId="7" fillId="0" borderId="166" xfId="20961" applyNumberFormat="1" applyFont="1" applyFill="1" applyBorder="1" applyAlignment="1">
      <alignment horizontal="left" vertical="center" wrapText="1"/>
    </xf>
    <xf numFmtId="10" fontId="4" fillId="0" borderId="166" xfId="20961" applyNumberFormat="1" applyFont="1" applyFill="1" applyBorder="1" applyAlignment="1">
      <alignment horizontal="left" vertical="center" wrapText="1"/>
    </xf>
    <xf numFmtId="10" fontId="6" fillId="36" borderId="166" xfId="0" applyNumberFormat="1" applyFont="1" applyFill="1" applyBorder="1" applyAlignment="1">
      <alignment horizontal="left" vertical="center" wrapText="1"/>
    </xf>
    <xf numFmtId="10" fontId="6" fillId="36" borderId="166" xfId="20961" applyNumberFormat="1" applyFont="1" applyFill="1" applyBorder="1" applyAlignment="1">
      <alignment horizontal="left" vertical="center" wrapText="1"/>
    </xf>
    <xf numFmtId="167" fontId="114" fillId="0" borderId="166" xfId="7" applyNumberFormat="1" applyFont="1" applyBorder="1" applyAlignment="1">
      <alignment horizontal="left" indent="1"/>
    </xf>
    <xf numFmtId="0" fontId="114" fillId="0" borderId="166" xfId="0" applyFont="1" applyBorder="1"/>
    <xf numFmtId="0" fontId="114" fillId="0" borderId="166" xfId="0" applyFont="1" applyBorder="1" applyAlignment="1">
      <alignment horizontal="left" indent="1"/>
    </xf>
    <xf numFmtId="43" fontId="114" fillId="0" borderId="166" xfId="7" applyFont="1" applyBorder="1" applyAlignment="1">
      <alignment horizontal="left" indent="1"/>
    </xf>
    <xf numFmtId="43" fontId="117" fillId="0" borderId="166" xfId="7" applyFont="1" applyBorder="1"/>
    <xf numFmtId="43" fontId="117" fillId="84" borderId="166" xfId="7" applyFont="1" applyFill="1" applyBorder="1"/>
    <xf numFmtId="0" fontId="117" fillId="84" borderId="166" xfId="0" applyFont="1" applyFill="1" applyBorder="1"/>
    <xf numFmtId="0" fontId="117" fillId="0" borderId="166" xfId="0" applyFont="1" applyBorder="1"/>
    <xf numFmtId="0" fontId="114" fillId="0" borderId="167" xfId="0" applyFont="1" applyBorder="1"/>
    <xf numFmtId="167" fontId="114" fillId="0" borderId="173" xfId="7" applyNumberFormat="1" applyFont="1" applyBorder="1" applyAlignment="1">
      <alignment horizontal="left" indent="1"/>
    </xf>
    <xf numFmtId="167" fontId="114" fillId="0" borderId="173" xfId="7" applyNumberFormat="1" applyFont="1" applyBorder="1" applyAlignment="1">
      <alignment horizontal="left" indent="2"/>
    </xf>
    <xf numFmtId="167" fontId="114" fillId="0" borderId="173" xfId="7" applyNumberFormat="1" applyFont="1" applyFill="1" applyBorder="1" applyAlignment="1">
      <alignment horizontal="left" indent="3"/>
    </xf>
    <xf numFmtId="167" fontId="114" fillId="0" borderId="173" xfId="7" applyNumberFormat="1" applyFont="1" applyFill="1" applyBorder="1" applyAlignment="1">
      <alignment horizontal="left" indent="1"/>
    </xf>
    <xf numFmtId="167" fontId="114" fillId="81" borderId="173" xfId="7" applyNumberFormat="1" applyFont="1" applyFill="1" applyBorder="1"/>
    <xf numFmtId="167" fontId="114" fillId="81" borderId="166" xfId="7" applyNumberFormat="1" applyFont="1" applyFill="1" applyBorder="1"/>
    <xf numFmtId="0" fontId="114" fillId="81" borderId="166" xfId="0" applyFont="1" applyFill="1" applyBorder="1"/>
    <xf numFmtId="0" fontId="114" fillId="81" borderId="167" xfId="0" applyFont="1" applyFill="1" applyBorder="1"/>
    <xf numFmtId="167" fontId="114" fillId="0" borderId="173" xfId="7" applyNumberFormat="1" applyFont="1" applyFill="1" applyBorder="1" applyAlignment="1">
      <alignment horizontal="left" vertical="top" wrapText="1" indent="2"/>
    </xf>
    <xf numFmtId="0" fontId="114" fillId="0" borderId="166" xfId="0" applyFont="1" applyFill="1" applyBorder="1"/>
    <xf numFmtId="0" fontId="114" fillId="0" borderId="167" xfId="0" applyFont="1" applyFill="1" applyBorder="1"/>
    <xf numFmtId="167" fontId="114" fillId="0" borderId="173" xfId="7" applyNumberFormat="1" applyFont="1" applyFill="1" applyBorder="1" applyAlignment="1">
      <alignment horizontal="left" wrapText="1" indent="3"/>
    </xf>
    <xf numFmtId="167" fontId="114" fillId="0" borderId="173" xfId="7" applyNumberFormat="1" applyFont="1" applyFill="1" applyBorder="1" applyAlignment="1">
      <alignment horizontal="left" wrapText="1" indent="2"/>
    </xf>
    <xf numFmtId="167" fontId="114" fillId="0" borderId="173" xfId="7" applyNumberFormat="1" applyFont="1" applyFill="1" applyBorder="1" applyAlignment="1">
      <alignment horizontal="left" wrapText="1" indent="1"/>
    </xf>
    <xf numFmtId="167" fontId="114" fillId="0" borderId="175" xfId="7" applyNumberFormat="1" applyFont="1" applyFill="1" applyBorder="1" applyAlignment="1">
      <alignment horizontal="left" wrapText="1" indent="1"/>
    </xf>
    <xf numFmtId="167" fontId="114" fillId="0" borderId="174" xfId="7" applyNumberFormat="1" applyFont="1" applyFill="1" applyBorder="1"/>
    <xf numFmtId="0" fontId="114" fillId="0" borderId="174" xfId="0" applyFont="1" applyFill="1" applyBorder="1"/>
    <xf numFmtId="0" fontId="114" fillId="0" borderId="176" xfId="0" applyFont="1" applyFill="1" applyBorder="1"/>
    <xf numFmtId="167" fontId="114" fillId="0" borderId="166" xfId="7" applyNumberFormat="1" applyFont="1" applyFill="1" applyBorder="1" applyAlignment="1">
      <alignment horizontal="left" vertical="center" wrapText="1"/>
    </xf>
    <xf numFmtId="167" fontId="114" fillId="0" borderId="166" xfId="7" applyNumberFormat="1" applyFont="1" applyBorder="1" applyAlignment="1">
      <alignment horizontal="center" vertical="center" wrapText="1"/>
    </xf>
    <xf numFmtId="167" fontId="114" fillId="0" borderId="166" xfId="7" applyNumberFormat="1" applyFont="1" applyBorder="1" applyAlignment="1">
      <alignment horizontal="center" vertical="center"/>
    </xf>
    <xf numFmtId="43" fontId="114" fillId="0" borderId="166" xfId="7" applyFont="1" applyBorder="1"/>
    <xf numFmtId="43" fontId="119" fillId="0" borderId="166" xfId="7" applyFont="1" applyBorder="1"/>
    <xf numFmtId="167" fontId="119" fillId="0" borderId="166" xfId="7" applyNumberFormat="1" applyFont="1" applyBorder="1"/>
    <xf numFmtId="167" fontId="119" fillId="0" borderId="170" xfId="7" applyNumberFormat="1" applyFont="1" applyBorder="1"/>
    <xf numFmtId="167" fontId="4" fillId="3" borderId="99" xfId="7" applyNumberFormat="1" applyFont="1" applyFill="1" applyBorder="1"/>
    <xf numFmtId="167" fontId="4" fillId="3" borderId="114" xfId="7" applyNumberFormat="1" applyFont="1" applyFill="1" applyBorder="1"/>
    <xf numFmtId="167" fontId="4" fillId="3" borderId="99" xfId="7" applyNumberFormat="1" applyFont="1" applyFill="1" applyBorder="1" applyAlignment="1">
      <alignment vertical="center"/>
    </xf>
    <xf numFmtId="0" fontId="140" fillId="0" borderId="29" xfId="0" applyFont="1" applyBorder="1" applyAlignment="1">
      <alignment wrapText="1"/>
    </xf>
    <xf numFmtId="167" fontId="0" fillId="0" borderId="0" xfId="0" applyNumberFormat="1"/>
    <xf numFmtId="167" fontId="0" fillId="0" borderId="0" xfId="7" applyNumberFormat="1" applyFont="1"/>
    <xf numFmtId="167" fontId="115" fillId="0" borderId="0" xfId="0" applyNumberFormat="1" applyFont="1" applyBorder="1"/>
    <xf numFmtId="167" fontId="143" fillId="0" borderId="0" xfId="7" applyNumberFormat="1" applyFont="1"/>
    <xf numFmtId="14" fontId="0" fillId="0" borderId="0" xfId="0" applyNumberFormat="1"/>
    <xf numFmtId="0" fontId="140" fillId="0" borderId="177" xfId="0" applyFont="1" applyBorder="1" applyAlignment="1">
      <alignment vertical="center" wrapText="1"/>
    </xf>
    <xf numFmtId="0" fontId="17" fillId="0" borderId="1" xfId="0" applyFont="1" applyFill="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0" fontId="4" fillId="0" borderId="0" xfId="0" applyFont="1" applyAlignment="1">
      <alignment horizontal="left" vertical="center"/>
    </xf>
    <xf numFmtId="0" fontId="12" fillId="0" borderId="0" xfId="0" applyFont="1" applyAlignment="1">
      <alignment horizontal="left" vertical="center"/>
    </xf>
    <xf numFmtId="0" fontId="102" fillId="0" borderId="66" xfId="0" applyFont="1" applyBorder="1" applyAlignment="1">
      <alignment horizontal="left" vertical="center" wrapText="1"/>
    </xf>
    <xf numFmtId="0" fontId="102" fillId="0" borderId="65" xfId="0" applyFont="1" applyBorder="1" applyAlignment="1">
      <alignment horizontal="left" vertical="center" wrapText="1"/>
    </xf>
    <xf numFmtId="0" fontId="139" fillId="0" borderId="160" xfId="0" applyFont="1" applyBorder="1" applyAlignment="1">
      <alignment horizontal="center" vertical="center" wrapText="1"/>
    </xf>
    <xf numFmtId="0" fontId="139" fillId="0" borderId="29" xfId="0" applyFont="1" applyBorder="1" applyAlignment="1">
      <alignment horizontal="center" vertical="center" wrapText="1"/>
    </xf>
    <xf numFmtId="0" fontId="139" fillId="0" borderId="161" xfId="0" applyFont="1" applyBorder="1" applyAlignment="1">
      <alignment horizontal="center" vertical="center" wrapText="1"/>
    </xf>
    <xf numFmtId="167" fontId="0" fillId="0" borderId="172" xfId="7" applyNumberFormat="1" applyFont="1" applyBorder="1" applyAlignment="1">
      <alignment horizontal="center"/>
    </xf>
    <xf numFmtId="167" fontId="0" fillId="0" borderId="168" xfId="7" applyNumberFormat="1" applyFont="1" applyBorder="1" applyAlignment="1">
      <alignment horizontal="center"/>
    </xf>
    <xf numFmtId="167" fontId="0" fillId="0" borderId="171" xfId="7" applyNumberFormat="1" applyFont="1" applyBorder="1" applyAlignment="1">
      <alignment horizontal="center"/>
    </xf>
    <xf numFmtId="0" fontId="0" fillId="0" borderId="140" xfId="0" applyBorder="1" applyAlignment="1">
      <alignment horizontal="center" vertical="center"/>
    </xf>
    <xf numFmtId="0" fontId="126" fillId="0" borderId="94" xfId="0" applyFont="1" applyBorder="1" applyAlignment="1">
      <alignment horizontal="center" vertical="center"/>
    </xf>
    <xf numFmtId="0" fontId="126"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6" fillId="0" borderId="144"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44" fillId="0" borderId="160" xfId="0" applyFont="1" applyBorder="1" applyAlignment="1">
      <alignment horizontal="center" vertical="center" wrapText="1"/>
    </xf>
    <xf numFmtId="0" fontId="144" fillId="0" borderId="161" xfId="0" applyFont="1" applyBorder="1" applyAlignment="1">
      <alignment horizontal="center" vertical="center" wrapText="1"/>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6" borderId="118"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5" xfId="0" applyFont="1" applyFill="1" applyBorder="1" applyAlignment="1">
      <alignment horizontal="center" vertical="center" wrapText="1"/>
    </xf>
    <xf numFmtId="0" fontId="6" fillId="36" borderId="98" xfId="0" applyFont="1" applyFill="1" applyBorder="1" applyAlignment="1">
      <alignment horizontal="center" vertical="center" wrapText="1"/>
    </xf>
    <xf numFmtId="0" fontId="100" fillId="3" borderId="67" xfId="13" applyFont="1" applyFill="1" applyBorder="1" applyAlignment="1" applyProtection="1">
      <alignment horizontal="center" vertical="center" wrapText="1"/>
      <protection locked="0"/>
    </xf>
    <xf numFmtId="0" fontId="100"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7" fontId="15" fillId="3" borderId="16" xfId="1" applyNumberFormat="1" applyFont="1" applyFill="1" applyBorder="1" applyAlignment="1" applyProtection="1">
      <alignment horizontal="center"/>
      <protection locked="0"/>
    </xf>
    <xf numFmtId="167" fontId="15" fillId="3" borderId="17" xfId="1" applyNumberFormat="1" applyFont="1" applyFill="1" applyBorder="1" applyAlignment="1" applyProtection="1">
      <alignment horizontal="center"/>
      <protection locked="0"/>
    </xf>
    <xf numFmtId="167"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7" fontId="15" fillId="0" borderId="90" xfId="1" applyNumberFormat="1" applyFont="1" applyFill="1" applyBorder="1" applyAlignment="1" applyProtection="1">
      <alignment horizontal="center" vertical="center" wrapText="1"/>
      <protection locked="0"/>
    </xf>
    <xf numFmtId="167"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7" fillId="0" borderId="121" xfId="0" applyNumberFormat="1" applyFont="1" applyFill="1" applyBorder="1" applyAlignment="1">
      <alignment horizontal="left" vertical="center" wrapText="1"/>
    </xf>
    <xf numFmtId="0" fontId="117" fillId="0" borderId="122" xfId="0" applyNumberFormat="1" applyFont="1" applyFill="1" applyBorder="1" applyAlignment="1">
      <alignment horizontal="left" vertical="center" wrapText="1"/>
    </xf>
    <xf numFmtId="0" fontId="117" fillId="0" borderId="124" xfId="0" applyNumberFormat="1" applyFont="1" applyFill="1" applyBorder="1" applyAlignment="1">
      <alignment horizontal="left" vertical="center" wrapText="1"/>
    </xf>
    <xf numFmtId="0" fontId="117" fillId="0" borderId="125" xfId="0" applyNumberFormat="1" applyFont="1" applyFill="1" applyBorder="1" applyAlignment="1">
      <alignment horizontal="left" vertical="center" wrapText="1"/>
    </xf>
    <xf numFmtId="0" fontId="117" fillId="0" borderId="127" xfId="0" applyNumberFormat="1" applyFont="1" applyFill="1" applyBorder="1" applyAlignment="1">
      <alignment horizontal="left" vertical="center" wrapText="1"/>
    </xf>
    <xf numFmtId="0" fontId="117" fillId="0" borderId="128" xfId="0" applyNumberFormat="1" applyFont="1" applyFill="1" applyBorder="1" applyAlignment="1">
      <alignment horizontal="left" vertical="center" wrapText="1"/>
    </xf>
    <xf numFmtId="167" fontId="118" fillId="0" borderId="147" xfId="7" applyNumberFormat="1" applyFont="1" applyFill="1" applyBorder="1" applyAlignment="1">
      <alignment horizontal="center" vertical="center" wrapText="1"/>
    </xf>
    <xf numFmtId="167" fontId="118" fillId="0" borderId="146" xfId="7" applyNumberFormat="1" applyFont="1" applyFill="1" applyBorder="1" applyAlignment="1">
      <alignment horizontal="center" vertical="center" wrapText="1"/>
    </xf>
    <xf numFmtId="167" fontId="118" fillId="0" borderId="123" xfId="7" applyNumberFormat="1" applyFont="1" applyFill="1" applyBorder="1" applyAlignment="1">
      <alignment horizontal="center" vertical="center" wrapText="1"/>
    </xf>
    <xf numFmtId="167" fontId="118" fillId="0" borderId="53" xfId="7" applyNumberFormat="1" applyFont="1" applyFill="1" applyBorder="1" applyAlignment="1">
      <alignment horizontal="center" vertical="center" wrapText="1"/>
    </xf>
    <xf numFmtId="167" fontId="118" fillId="0" borderId="126" xfId="7" applyNumberFormat="1" applyFont="1" applyFill="1" applyBorder="1" applyAlignment="1">
      <alignment horizontal="center" vertical="center" wrapText="1"/>
    </xf>
    <xf numFmtId="167" fontId="118" fillId="0" borderId="11" xfId="7" applyNumberFormat="1" applyFont="1" applyFill="1" applyBorder="1" applyAlignment="1">
      <alignment horizontal="center" vertical="center" wrapText="1"/>
    </xf>
    <xf numFmtId="0" fontId="114" fillId="0" borderId="149"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8" xfId="0" applyFont="1" applyBorder="1" applyAlignment="1">
      <alignment horizontal="center" vertical="center" wrapText="1"/>
    </xf>
    <xf numFmtId="0" fontId="114" fillId="0" borderId="151" xfId="0" applyFont="1" applyBorder="1" applyAlignment="1">
      <alignment horizontal="center" vertical="center" wrapText="1"/>
    </xf>
    <xf numFmtId="0" fontId="114" fillId="0" borderId="150" xfId="0" applyFont="1" applyBorder="1" applyAlignment="1">
      <alignment horizontal="center" vertical="center" wrapText="1"/>
    </xf>
    <xf numFmtId="0" fontId="122" fillId="0" borderId="148" xfId="0" applyFont="1" applyFill="1" applyBorder="1" applyAlignment="1">
      <alignment horizontal="center" vertical="center"/>
    </xf>
    <xf numFmtId="0" fontId="116" fillId="0" borderId="147" xfId="0" applyFont="1" applyFill="1" applyBorder="1" applyAlignment="1">
      <alignment horizontal="center" vertical="center"/>
    </xf>
    <xf numFmtId="0" fontId="116" fillId="0" borderId="152" xfId="0" applyFont="1" applyFill="1" applyBorder="1" applyAlignment="1">
      <alignment horizontal="center" vertical="center"/>
    </xf>
    <xf numFmtId="0" fontId="116" fillId="0" borderId="53" xfId="0" applyFont="1" applyFill="1" applyBorder="1" applyAlignment="1">
      <alignment horizontal="center" vertical="center"/>
    </xf>
    <xf numFmtId="0" fontId="116" fillId="0" borderId="11" xfId="0" applyFont="1" applyFill="1" applyBorder="1" applyAlignment="1">
      <alignment horizontal="center" vertical="center"/>
    </xf>
    <xf numFmtId="0" fontId="117" fillId="0" borderId="148" xfId="0" applyFont="1" applyFill="1" applyBorder="1" applyAlignment="1">
      <alignment horizontal="center" vertical="center" wrapText="1"/>
    </xf>
    <xf numFmtId="0" fontId="117" fillId="0" borderId="147" xfId="0" applyFont="1" applyFill="1" applyBorder="1" applyAlignment="1">
      <alignment horizontal="center" vertical="center" wrapText="1"/>
    </xf>
    <xf numFmtId="0" fontId="117" fillId="0" borderId="152" xfId="0" applyFont="1" applyFill="1" applyBorder="1" applyAlignment="1">
      <alignment horizontal="center" vertical="center" wrapText="1"/>
    </xf>
    <xf numFmtId="0" fontId="117" fillId="0" borderId="129" xfId="0" applyFont="1" applyFill="1" applyBorder="1" applyAlignment="1">
      <alignment horizontal="center" vertical="center" wrapText="1"/>
    </xf>
    <xf numFmtId="0" fontId="117" fillId="0" borderId="130" xfId="0" applyFont="1" applyFill="1" applyBorder="1" applyAlignment="1">
      <alignment horizontal="center" vertical="center" wrapText="1"/>
    </xf>
    <xf numFmtId="0" fontId="117" fillId="0" borderId="5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4" fillId="0" borderId="151" xfId="0" applyFont="1" applyFill="1" applyBorder="1" applyAlignment="1">
      <alignment horizontal="center" vertical="center" wrapText="1"/>
    </xf>
    <xf numFmtId="0" fontId="114" fillId="0" borderId="153" xfId="0" applyFont="1" applyFill="1" applyBorder="1" applyAlignment="1">
      <alignment horizontal="center" vertical="center" wrapText="1"/>
    </xf>
    <xf numFmtId="0" fontId="117" fillId="0" borderId="131" xfId="0" applyFont="1" applyFill="1" applyBorder="1" applyAlignment="1">
      <alignment horizontal="center" vertical="center" wrapText="1"/>
    </xf>
    <xf numFmtId="0" fontId="117" fillId="0" borderId="7" xfId="0" applyFont="1" applyFill="1" applyBorder="1" applyAlignment="1">
      <alignment horizontal="center" vertical="center" wrapText="1"/>
    </xf>
    <xf numFmtId="0" fontId="114" fillId="0" borderId="131" xfId="0" applyFont="1" applyFill="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52" xfId="0" applyFont="1" applyFill="1" applyBorder="1" applyAlignment="1">
      <alignment horizontal="center" vertical="center" wrapText="1"/>
    </xf>
    <xf numFmtId="0" fontId="114" fillId="0" borderId="11" xfId="0" applyFont="1" applyBorder="1" applyAlignment="1">
      <alignment horizontal="center" vertical="center" wrapText="1"/>
    </xf>
    <xf numFmtId="0" fontId="114" fillId="0" borderId="156" xfId="0" applyFont="1" applyBorder="1" applyAlignment="1">
      <alignment horizontal="center" vertical="center" wrapText="1"/>
    </xf>
    <xf numFmtId="0" fontId="114" fillId="0" borderId="54" xfId="0" applyFont="1" applyFill="1" applyBorder="1" applyAlignment="1">
      <alignment horizontal="center" vertical="center" wrapText="1"/>
    </xf>
    <xf numFmtId="0" fontId="114" fillId="0" borderId="55" xfId="0" applyFont="1" applyFill="1" applyBorder="1" applyAlignment="1">
      <alignment horizontal="center" vertical="center" wrapText="1"/>
    </xf>
    <xf numFmtId="0" fontId="114" fillId="0" borderId="106" xfId="0" applyFont="1" applyFill="1" applyBorder="1" applyAlignment="1">
      <alignment horizontal="center" vertical="center" wrapText="1"/>
    </xf>
    <xf numFmtId="0" fontId="117" fillId="0" borderId="54" xfId="0" applyNumberFormat="1" applyFont="1" applyFill="1" applyBorder="1" applyAlignment="1">
      <alignment horizontal="left" vertical="top" wrapText="1"/>
    </xf>
    <xf numFmtId="0" fontId="117" fillId="0" borderId="106" xfId="0" applyNumberFormat="1" applyFont="1" applyFill="1" applyBorder="1" applyAlignment="1">
      <alignment horizontal="left" vertical="top" wrapText="1"/>
    </xf>
    <xf numFmtId="0" fontId="117" fillId="0" borderId="63" xfId="0" applyNumberFormat="1" applyFont="1" applyFill="1" applyBorder="1" applyAlignment="1">
      <alignment horizontal="left" vertical="top" wrapText="1"/>
    </xf>
    <xf numFmtId="0" fontId="117" fillId="0" borderId="92" xfId="0" applyNumberFormat="1" applyFont="1" applyFill="1" applyBorder="1" applyAlignment="1">
      <alignment horizontal="left" vertical="top" wrapText="1"/>
    </xf>
    <xf numFmtId="0" fontId="117" fillId="0" borderId="120" xfId="0" applyNumberFormat="1" applyFont="1" applyFill="1" applyBorder="1" applyAlignment="1">
      <alignment horizontal="left" vertical="top" wrapText="1"/>
    </xf>
    <xf numFmtId="0" fontId="117" fillId="0" borderId="158" xfId="0" applyNumberFormat="1" applyFont="1" applyFill="1" applyBorder="1" applyAlignment="1">
      <alignment horizontal="left" vertical="top" wrapText="1"/>
    </xf>
    <xf numFmtId="0" fontId="114" fillId="0" borderId="149" xfId="0" applyFont="1" applyFill="1" applyBorder="1" applyAlignment="1">
      <alignment horizontal="center" vertical="center" wrapText="1"/>
    </xf>
    <xf numFmtId="0" fontId="117" fillId="0" borderId="159" xfId="0" applyFont="1" applyFill="1" applyBorder="1" applyAlignment="1">
      <alignment horizontal="center" vertical="center" wrapText="1"/>
    </xf>
    <xf numFmtId="0" fontId="117" fillId="0" borderId="69" xfId="0" applyFont="1" applyFill="1" applyBorder="1" applyAlignment="1">
      <alignment horizontal="center" vertical="center" wrapText="1"/>
    </xf>
    <xf numFmtId="0" fontId="114" fillId="0" borderId="147" xfId="0" applyFont="1" applyBorder="1" applyAlignment="1">
      <alignment horizontal="center" vertical="top" wrapText="1"/>
    </xf>
    <xf numFmtId="0" fontId="114" fillId="0" borderId="146" xfId="0" applyFont="1" applyBorder="1" applyAlignment="1">
      <alignment horizontal="center" vertical="top" wrapText="1"/>
    </xf>
    <xf numFmtId="0" fontId="114" fillId="0" borderId="147" xfId="0" applyFont="1" applyFill="1" applyBorder="1" applyAlignment="1">
      <alignment horizontal="center" vertical="top" wrapText="1"/>
    </xf>
    <xf numFmtId="0" fontId="114" fillId="0" borderId="153" xfId="0" applyFont="1" applyFill="1" applyBorder="1" applyAlignment="1">
      <alignment horizontal="center" vertical="top" wrapText="1"/>
    </xf>
    <xf numFmtId="0" fontId="114" fillId="0" borderId="150" xfId="0" applyFont="1" applyFill="1" applyBorder="1" applyAlignment="1">
      <alignment horizontal="center" vertical="top" wrapText="1"/>
    </xf>
    <xf numFmtId="0" fontId="103" fillId="0" borderId="132" xfId="0" applyNumberFormat="1" applyFont="1" applyFill="1" applyBorder="1" applyAlignment="1">
      <alignment horizontal="left" vertical="top" wrapText="1"/>
    </xf>
    <xf numFmtId="0" fontId="103" fillId="0" borderId="133" xfId="0" applyNumberFormat="1" applyFont="1" applyFill="1" applyBorder="1" applyAlignment="1">
      <alignment horizontal="left" vertical="top" wrapText="1"/>
    </xf>
    <xf numFmtId="0" fontId="120" fillId="0" borderId="148" xfId="0" applyFont="1" applyBorder="1" applyAlignment="1">
      <alignment horizontal="center" vertical="center"/>
    </xf>
    <xf numFmtId="0" fontId="119" fillId="0" borderId="148" xfId="0" applyFont="1" applyBorder="1" applyAlignment="1">
      <alignment horizontal="center" vertical="center" wrapText="1"/>
    </xf>
    <xf numFmtId="0" fontId="119" fillId="0" borderId="149" xfId="0" applyFont="1" applyBorder="1" applyAlignment="1">
      <alignment horizontal="center" vertical="center" wrapText="1"/>
    </xf>
    <xf numFmtId="0" fontId="103" fillId="76" borderId="151" xfId="0" applyFont="1" applyFill="1" applyBorder="1" applyAlignment="1">
      <alignment horizontal="center" vertical="center" wrapText="1"/>
    </xf>
    <xf numFmtId="0" fontId="103" fillId="76" borderId="150" xfId="0" applyFont="1" applyFill="1" applyBorder="1" applyAlignment="1">
      <alignment horizontal="center" vertical="center" wrapText="1"/>
    </xf>
    <xf numFmtId="0" fontId="104" fillId="0" borderId="151" xfId="0" applyFont="1" applyFill="1" applyBorder="1" applyAlignment="1">
      <alignment horizontal="left" vertical="center" wrapText="1"/>
    </xf>
    <xf numFmtId="0" fontId="104" fillId="0" borderId="150" xfId="0" applyFont="1" applyFill="1" applyBorder="1" applyAlignment="1">
      <alignment horizontal="left" vertical="center" wrapText="1"/>
    </xf>
    <xf numFmtId="0" fontId="104" fillId="0" borderId="151" xfId="13" applyFont="1" applyFill="1" applyBorder="1" applyAlignment="1" applyProtection="1">
      <alignment horizontal="left" vertical="top" wrapText="1"/>
      <protection locked="0"/>
    </xf>
    <xf numFmtId="0" fontId="104" fillId="0" borderId="150" xfId="13" applyFont="1" applyFill="1" applyBorder="1" applyAlignment="1" applyProtection="1">
      <alignment horizontal="left" vertical="top" wrapText="1"/>
      <protection locked="0"/>
    </xf>
    <xf numFmtId="0" fontId="104" fillId="0" borderId="151" xfId="0" applyNumberFormat="1" applyFont="1" applyFill="1" applyBorder="1" applyAlignment="1">
      <alignment horizontal="left" vertical="center" wrapText="1"/>
    </xf>
    <xf numFmtId="0" fontId="104" fillId="0" borderId="150" xfId="0" applyNumberFormat="1" applyFont="1" applyFill="1" applyBorder="1" applyAlignment="1">
      <alignment horizontal="left" vertical="center" wrapText="1"/>
    </xf>
    <xf numFmtId="0" fontId="104" fillId="0" borderId="151" xfId="0" applyNumberFormat="1" applyFont="1" applyFill="1" applyBorder="1" applyAlignment="1">
      <alignment horizontal="left" vertical="top" wrapText="1"/>
    </xf>
    <xf numFmtId="0" fontId="104" fillId="0" borderId="150" xfId="0" applyNumberFormat="1" applyFont="1" applyFill="1" applyBorder="1" applyAlignment="1">
      <alignment horizontal="left" vertical="top" wrapText="1"/>
    </xf>
    <xf numFmtId="49" fontId="104" fillId="0" borderId="0" xfId="0" applyNumberFormat="1" applyFont="1" applyFill="1" applyBorder="1" applyAlignment="1">
      <alignment horizontal="center" vertical="center"/>
    </xf>
    <xf numFmtId="0" fontId="104" fillId="0" borderId="148" xfId="0" applyFont="1" applyFill="1" applyBorder="1" applyAlignment="1">
      <alignment horizontal="left" vertical="top" wrapText="1"/>
    </xf>
    <xf numFmtId="0" fontId="104" fillId="0" borderId="151" xfId="0" applyFont="1" applyFill="1" applyBorder="1" applyAlignment="1">
      <alignment horizontal="left" vertical="top" wrapText="1"/>
    </xf>
    <xf numFmtId="0" fontId="104" fillId="0" borderId="148" xfId="0" applyFont="1" applyFill="1" applyBorder="1" applyAlignment="1">
      <alignment horizontal="left" vertical="center" wrapText="1"/>
    </xf>
    <xf numFmtId="0" fontId="103" fillId="76" borderId="148" xfId="0" applyFont="1" applyFill="1" applyBorder="1" applyAlignment="1">
      <alignment horizontal="center" vertical="center" wrapText="1"/>
    </xf>
    <xf numFmtId="0" fontId="104" fillId="0" borderId="148" xfId="0" applyNumberFormat="1" applyFont="1" applyFill="1" applyBorder="1" applyAlignment="1">
      <alignment horizontal="left" vertical="top" wrapText="1"/>
    </xf>
    <xf numFmtId="0" fontId="104" fillId="0" borderId="148" xfId="0" applyFont="1" applyBorder="1" applyAlignment="1">
      <alignment horizontal="center"/>
    </xf>
    <xf numFmtId="0" fontId="104" fillId="0" borderId="100" xfId="0" applyFont="1" applyFill="1" applyBorder="1" applyAlignment="1">
      <alignment horizontal="left" vertical="center" wrapText="1"/>
    </xf>
    <xf numFmtId="0" fontId="104" fillId="0" borderId="98" xfId="0" applyFont="1" applyFill="1" applyBorder="1" applyAlignment="1">
      <alignment horizontal="left" vertical="center" wrapText="1"/>
    </xf>
    <xf numFmtId="0" fontId="103" fillId="0" borderId="148" xfId="0" applyFont="1" applyFill="1" applyBorder="1" applyAlignment="1">
      <alignment horizontal="center" vertical="center"/>
    </xf>
    <xf numFmtId="0" fontId="104" fillId="3" borderId="151" xfId="13" applyFont="1" applyFill="1" applyBorder="1" applyAlignment="1" applyProtection="1">
      <alignment horizontal="left" vertical="top" wrapText="1"/>
      <protection locked="0"/>
    </xf>
    <xf numFmtId="0" fontId="104" fillId="3" borderId="150" xfId="13" applyFont="1" applyFill="1" applyBorder="1" applyAlignment="1" applyProtection="1">
      <alignment horizontal="left" vertical="top" wrapText="1"/>
      <protection locked="0"/>
    </xf>
    <xf numFmtId="0" fontId="103" fillId="0" borderId="85" xfId="0" applyFont="1" applyFill="1" applyBorder="1" applyAlignment="1">
      <alignment horizontal="center" vertical="center"/>
    </xf>
    <xf numFmtId="0" fontId="103" fillId="76" borderId="82" xfId="0" applyFont="1" applyFill="1" applyBorder="1" applyAlignment="1">
      <alignment horizontal="center" vertical="center" wrapText="1"/>
    </xf>
    <xf numFmtId="0" fontId="103" fillId="76" borderId="0" xfId="0" applyFont="1" applyFill="1" applyBorder="1" applyAlignment="1">
      <alignment horizontal="center" vertical="center" wrapText="1"/>
    </xf>
    <xf numFmtId="0" fontId="103" fillId="76" borderId="83" xfId="0" applyFont="1" applyFill="1" applyBorder="1" applyAlignment="1">
      <alignment horizontal="center" vertical="center" wrapText="1"/>
    </xf>
    <xf numFmtId="0" fontId="104" fillId="77" borderId="100" xfId="0" applyFont="1" applyFill="1" applyBorder="1" applyAlignment="1">
      <alignment vertical="center" wrapText="1"/>
    </xf>
    <xf numFmtId="0" fontId="104" fillId="77" borderId="98" xfId="0" applyFont="1" applyFill="1" applyBorder="1" applyAlignment="1">
      <alignment vertical="center" wrapText="1"/>
    </xf>
    <xf numFmtId="0" fontId="104" fillId="0" borderId="100" xfId="0" applyFont="1" applyFill="1" applyBorder="1" applyAlignment="1">
      <alignment vertical="center" wrapText="1"/>
    </xf>
    <xf numFmtId="0" fontId="104" fillId="0" borderId="98" xfId="0" applyFont="1" applyFill="1" applyBorder="1" applyAlignment="1">
      <alignment vertical="center" wrapText="1"/>
    </xf>
    <xf numFmtId="0" fontId="103" fillId="76" borderId="87" xfId="0" applyFont="1" applyFill="1" applyBorder="1" applyAlignment="1">
      <alignment horizontal="center" vertical="center"/>
    </xf>
    <xf numFmtId="0" fontId="103" fillId="76" borderId="88" xfId="0" applyFont="1" applyFill="1" applyBorder="1" applyAlignment="1">
      <alignment horizontal="center" vertical="center"/>
    </xf>
    <xf numFmtId="0" fontId="103" fillId="76" borderId="89" xfId="0" applyFont="1" applyFill="1" applyBorder="1" applyAlignment="1">
      <alignment horizontal="center" vertical="center"/>
    </xf>
    <xf numFmtId="0" fontId="104" fillId="3" borderId="100" xfId="0" applyFont="1" applyFill="1" applyBorder="1" applyAlignment="1">
      <alignment horizontal="left" vertical="center" wrapText="1"/>
    </xf>
    <xf numFmtId="0" fontId="104" fillId="3" borderId="98" xfId="0" applyFont="1" applyFill="1" applyBorder="1" applyAlignment="1">
      <alignment horizontal="left" vertical="center" wrapText="1"/>
    </xf>
    <xf numFmtId="0" fontId="104" fillId="0" borderId="77" xfId="0" applyFont="1" applyFill="1" applyBorder="1" applyAlignment="1">
      <alignment horizontal="left" vertical="center" wrapText="1"/>
    </xf>
    <xf numFmtId="0" fontId="104" fillId="0" borderId="78" xfId="0" applyFont="1" applyFill="1" applyBorder="1" applyAlignment="1">
      <alignment horizontal="left" vertical="center" wrapText="1"/>
    </xf>
    <xf numFmtId="0" fontId="103" fillId="76" borderId="73" xfId="0" applyFont="1" applyFill="1" applyBorder="1" applyAlignment="1">
      <alignment horizontal="center" vertical="center" wrapText="1"/>
    </xf>
    <xf numFmtId="0" fontId="103" fillId="76" borderId="74" xfId="0" applyFont="1" applyFill="1" applyBorder="1" applyAlignment="1">
      <alignment horizontal="center" vertical="center" wrapText="1"/>
    </xf>
    <xf numFmtId="0" fontId="103" fillId="76" borderId="75" xfId="0" applyFont="1" applyFill="1" applyBorder="1" applyAlignment="1">
      <alignment horizontal="center" vertical="center" wrapText="1"/>
    </xf>
    <xf numFmtId="0" fontId="104" fillId="0" borderId="53"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04" fillId="82" borderId="100" xfId="0" applyFont="1" applyFill="1" applyBorder="1" applyAlignment="1">
      <alignment vertical="center" wrapText="1"/>
    </xf>
    <xf numFmtId="0" fontId="104" fillId="82" borderId="98" xfId="0" applyFont="1" applyFill="1" applyBorder="1" applyAlignment="1">
      <alignment vertical="center" wrapText="1"/>
    </xf>
    <xf numFmtId="0" fontId="104" fillId="82" borderId="141" xfId="0" applyFont="1" applyFill="1" applyBorder="1" applyAlignment="1">
      <alignment horizontal="left" vertical="center" wrapText="1"/>
    </xf>
    <xf numFmtId="0" fontId="104" fillId="82" borderId="142" xfId="0" applyFont="1" applyFill="1" applyBorder="1" applyAlignment="1">
      <alignment horizontal="left" vertical="center" wrapText="1"/>
    </xf>
    <xf numFmtId="0" fontId="104" fillId="82" borderId="143" xfId="0" applyFont="1" applyFill="1" applyBorder="1" applyAlignment="1">
      <alignment horizontal="left" vertical="center" wrapText="1"/>
    </xf>
    <xf numFmtId="0" fontId="104" fillId="3" borderId="77" xfId="0" applyFont="1" applyFill="1" applyBorder="1" applyAlignment="1">
      <alignment horizontal="left" vertical="center" wrapText="1"/>
    </xf>
    <xf numFmtId="0" fontId="104" fillId="3" borderId="78" xfId="0" applyFont="1" applyFill="1" applyBorder="1" applyAlignment="1">
      <alignment horizontal="left" vertical="center" wrapText="1"/>
    </xf>
    <xf numFmtId="0" fontId="104" fillId="82" borderId="80" xfId="0" applyFont="1" applyFill="1" applyBorder="1" applyAlignment="1">
      <alignment horizontal="left" vertical="center" wrapText="1"/>
    </xf>
    <xf numFmtId="0" fontId="104" fillId="82" borderId="81" xfId="0" applyFont="1" applyFill="1" applyBorder="1" applyAlignment="1">
      <alignment horizontal="left" vertical="center" wrapText="1"/>
    </xf>
    <xf numFmtId="0" fontId="104" fillId="82" borderId="53" xfId="0" applyFont="1" applyFill="1" applyBorder="1" applyAlignment="1">
      <alignment vertical="center" wrapText="1"/>
    </xf>
    <xf numFmtId="0" fontId="104" fillId="82" borderId="11" xfId="0" applyFont="1" applyFill="1" applyBorder="1" applyAlignment="1">
      <alignment vertical="center" wrapText="1"/>
    </xf>
    <xf numFmtId="0" fontId="104" fillId="3" borderId="100" xfId="0" applyFont="1" applyFill="1" applyBorder="1" applyAlignment="1">
      <alignment vertical="center" wrapText="1"/>
    </xf>
    <xf numFmtId="0" fontId="104" fillId="3" borderId="98" xfId="0" applyFont="1" applyFill="1" applyBorder="1" applyAlignment="1">
      <alignment vertical="center" wrapText="1"/>
    </xf>
    <xf numFmtId="0" fontId="103" fillId="0" borderId="70" xfId="0" applyFont="1" applyFill="1" applyBorder="1" applyAlignment="1">
      <alignment horizontal="center" vertical="center"/>
    </xf>
    <xf numFmtId="0" fontId="103" fillId="0" borderId="71" xfId="0" applyFont="1" applyFill="1" applyBorder="1" applyAlignment="1">
      <alignment horizontal="center" vertical="center"/>
    </xf>
    <xf numFmtId="0" fontId="103" fillId="0" borderId="72" xfId="0" applyFont="1" applyFill="1" applyBorder="1" applyAlignment="1">
      <alignment horizontal="center" vertical="center"/>
    </xf>
    <xf numFmtId="0" fontId="104" fillId="0" borderId="99" xfId="0" applyFont="1" applyFill="1" applyBorder="1" applyAlignment="1">
      <alignment horizontal="left" vertical="center" wrapText="1"/>
    </xf>
    <xf numFmtId="0" fontId="124" fillId="3" borderId="100" xfId="0" applyFont="1" applyFill="1" applyBorder="1" applyAlignment="1">
      <alignment vertical="center" wrapText="1"/>
    </xf>
    <xf numFmtId="0" fontId="124" fillId="3" borderId="98" xfId="0" applyFont="1" applyFill="1" applyBorder="1" applyAlignment="1">
      <alignment vertical="center" wrapText="1"/>
    </xf>
    <xf numFmtId="0" fontId="104" fillId="0" borderId="100" xfId="0" applyFont="1" applyFill="1" applyBorder="1" applyAlignment="1">
      <alignment horizontal="left"/>
    </xf>
    <xf numFmtId="0" fontId="104" fillId="0" borderId="98" xfId="0" applyFont="1" applyFill="1" applyBorder="1" applyAlignment="1">
      <alignment horizontal="left"/>
    </xf>
  </cellXfs>
  <cellStyles count="2186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2 3" xfId="21416"/>
    <cellStyle name="Calculation 2 10 3" xfId="724"/>
    <cellStyle name="Calculation 2 10 3 2" xfId="21407"/>
    <cellStyle name="Calculation 2 10 3 3" xfId="21417"/>
    <cellStyle name="Calculation 2 10 4" xfId="725"/>
    <cellStyle name="Calculation 2 10 4 2" xfId="21406"/>
    <cellStyle name="Calculation 2 10 4 3" xfId="21418"/>
    <cellStyle name="Calculation 2 10 5" xfId="726"/>
    <cellStyle name="Calculation 2 10 5 2" xfId="21405"/>
    <cellStyle name="Calculation 2 10 5 3" xfId="21419"/>
    <cellStyle name="Calculation 2 11" xfId="727"/>
    <cellStyle name="Calculation 2 11 2" xfId="728"/>
    <cellStyle name="Calculation 2 11 2 2" xfId="21403"/>
    <cellStyle name="Calculation 2 11 2 3" xfId="21421"/>
    <cellStyle name="Calculation 2 11 3" xfId="729"/>
    <cellStyle name="Calculation 2 11 3 2" xfId="21402"/>
    <cellStyle name="Calculation 2 11 3 3" xfId="21422"/>
    <cellStyle name="Calculation 2 11 4" xfId="730"/>
    <cellStyle name="Calculation 2 11 4 2" xfId="21401"/>
    <cellStyle name="Calculation 2 11 4 3" xfId="21423"/>
    <cellStyle name="Calculation 2 11 5" xfId="731"/>
    <cellStyle name="Calculation 2 11 5 2" xfId="21400"/>
    <cellStyle name="Calculation 2 11 5 3" xfId="21424"/>
    <cellStyle name="Calculation 2 11 6" xfId="21404"/>
    <cellStyle name="Calculation 2 11 7" xfId="21420"/>
    <cellStyle name="Calculation 2 12" xfId="732"/>
    <cellStyle name="Calculation 2 12 2" xfId="733"/>
    <cellStyle name="Calculation 2 12 2 2" xfId="21398"/>
    <cellStyle name="Calculation 2 12 2 3" xfId="21426"/>
    <cellStyle name="Calculation 2 12 3" xfId="734"/>
    <cellStyle name="Calculation 2 12 3 2" xfId="21397"/>
    <cellStyle name="Calculation 2 12 3 3" xfId="21427"/>
    <cellStyle name="Calculation 2 12 4" xfId="735"/>
    <cellStyle name="Calculation 2 12 4 2" xfId="21396"/>
    <cellStyle name="Calculation 2 12 4 3" xfId="21428"/>
    <cellStyle name="Calculation 2 12 5" xfId="736"/>
    <cellStyle name="Calculation 2 12 5 2" xfId="21395"/>
    <cellStyle name="Calculation 2 12 5 3" xfId="21429"/>
    <cellStyle name="Calculation 2 12 6" xfId="21399"/>
    <cellStyle name="Calculation 2 12 7" xfId="21425"/>
    <cellStyle name="Calculation 2 13" xfId="737"/>
    <cellStyle name="Calculation 2 13 2" xfId="738"/>
    <cellStyle name="Calculation 2 13 2 2" xfId="21393"/>
    <cellStyle name="Calculation 2 13 2 3" xfId="21431"/>
    <cellStyle name="Calculation 2 13 3" xfId="739"/>
    <cellStyle name="Calculation 2 13 3 2" xfId="21392"/>
    <cellStyle name="Calculation 2 13 3 3" xfId="21432"/>
    <cellStyle name="Calculation 2 13 4" xfId="740"/>
    <cellStyle name="Calculation 2 13 4 2" xfId="21391"/>
    <cellStyle name="Calculation 2 13 4 3" xfId="21433"/>
    <cellStyle name="Calculation 2 13 5" xfId="21394"/>
    <cellStyle name="Calculation 2 13 6" xfId="21430"/>
    <cellStyle name="Calculation 2 14" xfId="741"/>
    <cellStyle name="Calculation 2 14 2" xfId="21390"/>
    <cellStyle name="Calculation 2 14 3" xfId="21434"/>
    <cellStyle name="Calculation 2 15" xfId="742"/>
    <cellStyle name="Calculation 2 15 2" xfId="21389"/>
    <cellStyle name="Calculation 2 15 3" xfId="21435"/>
    <cellStyle name="Calculation 2 16" xfId="743"/>
    <cellStyle name="Calculation 2 16 2" xfId="21388"/>
    <cellStyle name="Calculation 2 16 3" xfId="21436"/>
    <cellStyle name="Calculation 2 17" xfId="21409"/>
    <cellStyle name="Calculation 2 18" xfId="21415"/>
    <cellStyle name="Calculation 2 2" xfId="744"/>
    <cellStyle name="Calculation 2 2 10" xfId="21387"/>
    <cellStyle name="Calculation 2 2 11" xfId="21437"/>
    <cellStyle name="Calculation 2 2 2" xfId="745"/>
    <cellStyle name="Calculation 2 2 2 2" xfId="746"/>
    <cellStyle name="Calculation 2 2 2 2 2" xfId="21385"/>
    <cellStyle name="Calculation 2 2 2 2 3" xfId="21439"/>
    <cellStyle name="Calculation 2 2 2 3" xfId="747"/>
    <cellStyle name="Calculation 2 2 2 3 2" xfId="21384"/>
    <cellStyle name="Calculation 2 2 2 3 3" xfId="21440"/>
    <cellStyle name="Calculation 2 2 2 4" xfId="748"/>
    <cellStyle name="Calculation 2 2 2 4 2" xfId="21383"/>
    <cellStyle name="Calculation 2 2 2 4 3" xfId="21441"/>
    <cellStyle name="Calculation 2 2 2 5" xfId="21386"/>
    <cellStyle name="Calculation 2 2 2 6" xfId="21438"/>
    <cellStyle name="Calculation 2 2 3" xfId="749"/>
    <cellStyle name="Calculation 2 2 3 2" xfId="750"/>
    <cellStyle name="Calculation 2 2 3 2 2" xfId="21381"/>
    <cellStyle name="Calculation 2 2 3 2 3" xfId="21443"/>
    <cellStyle name="Calculation 2 2 3 3" xfId="751"/>
    <cellStyle name="Calculation 2 2 3 3 2" xfId="21380"/>
    <cellStyle name="Calculation 2 2 3 3 3" xfId="21444"/>
    <cellStyle name="Calculation 2 2 3 4" xfId="752"/>
    <cellStyle name="Calculation 2 2 3 4 2" xfId="21379"/>
    <cellStyle name="Calculation 2 2 3 4 3" xfId="21445"/>
    <cellStyle name="Calculation 2 2 3 5" xfId="21382"/>
    <cellStyle name="Calculation 2 2 3 6" xfId="21442"/>
    <cellStyle name="Calculation 2 2 4" xfId="753"/>
    <cellStyle name="Calculation 2 2 4 2" xfId="754"/>
    <cellStyle name="Calculation 2 2 4 2 2" xfId="21377"/>
    <cellStyle name="Calculation 2 2 4 2 3" xfId="21447"/>
    <cellStyle name="Calculation 2 2 4 3" xfId="755"/>
    <cellStyle name="Calculation 2 2 4 3 2" xfId="21376"/>
    <cellStyle name="Calculation 2 2 4 3 3" xfId="21448"/>
    <cellStyle name="Calculation 2 2 4 4" xfId="756"/>
    <cellStyle name="Calculation 2 2 4 4 2" xfId="21375"/>
    <cellStyle name="Calculation 2 2 4 4 3" xfId="21449"/>
    <cellStyle name="Calculation 2 2 4 5" xfId="21378"/>
    <cellStyle name="Calculation 2 2 4 6" xfId="21446"/>
    <cellStyle name="Calculation 2 2 5" xfId="757"/>
    <cellStyle name="Calculation 2 2 5 2" xfId="758"/>
    <cellStyle name="Calculation 2 2 5 2 2" xfId="21373"/>
    <cellStyle name="Calculation 2 2 5 2 3" xfId="21451"/>
    <cellStyle name="Calculation 2 2 5 3" xfId="759"/>
    <cellStyle name="Calculation 2 2 5 3 2" xfId="21372"/>
    <cellStyle name="Calculation 2 2 5 3 3" xfId="21452"/>
    <cellStyle name="Calculation 2 2 5 4" xfId="760"/>
    <cellStyle name="Calculation 2 2 5 4 2" xfId="21371"/>
    <cellStyle name="Calculation 2 2 5 4 3" xfId="21453"/>
    <cellStyle name="Calculation 2 2 5 5" xfId="21374"/>
    <cellStyle name="Calculation 2 2 5 6" xfId="21450"/>
    <cellStyle name="Calculation 2 2 6" xfId="761"/>
    <cellStyle name="Calculation 2 2 6 2" xfId="21370"/>
    <cellStyle name="Calculation 2 2 6 3" xfId="21454"/>
    <cellStyle name="Calculation 2 2 7" xfId="762"/>
    <cellStyle name="Calculation 2 2 7 2" xfId="21369"/>
    <cellStyle name="Calculation 2 2 7 3" xfId="21455"/>
    <cellStyle name="Calculation 2 2 8" xfId="763"/>
    <cellStyle name="Calculation 2 2 8 2" xfId="21368"/>
    <cellStyle name="Calculation 2 2 8 3" xfId="21456"/>
    <cellStyle name="Calculation 2 2 9" xfId="764"/>
    <cellStyle name="Calculation 2 2 9 2" xfId="21367"/>
    <cellStyle name="Calculation 2 2 9 3" xfId="21457"/>
    <cellStyle name="Calculation 2 3" xfId="765"/>
    <cellStyle name="Calculation 2 3 2" xfId="766"/>
    <cellStyle name="Calculation 2 3 2 2" xfId="21366"/>
    <cellStyle name="Calculation 2 3 2 3" xfId="21458"/>
    <cellStyle name="Calculation 2 3 3" xfId="767"/>
    <cellStyle name="Calculation 2 3 3 2" xfId="21365"/>
    <cellStyle name="Calculation 2 3 3 3" xfId="21459"/>
    <cellStyle name="Calculation 2 3 4" xfId="768"/>
    <cellStyle name="Calculation 2 3 4 2" xfId="21364"/>
    <cellStyle name="Calculation 2 3 4 3" xfId="21460"/>
    <cellStyle name="Calculation 2 3 5" xfId="769"/>
    <cellStyle name="Calculation 2 3 5 2" xfId="21363"/>
    <cellStyle name="Calculation 2 3 5 3" xfId="21461"/>
    <cellStyle name="Calculation 2 4" xfId="770"/>
    <cellStyle name="Calculation 2 4 2" xfId="771"/>
    <cellStyle name="Calculation 2 4 2 2" xfId="21362"/>
    <cellStyle name="Calculation 2 4 2 3" xfId="21462"/>
    <cellStyle name="Calculation 2 4 3" xfId="772"/>
    <cellStyle name="Calculation 2 4 3 2" xfId="21361"/>
    <cellStyle name="Calculation 2 4 3 3" xfId="21463"/>
    <cellStyle name="Calculation 2 4 4" xfId="773"/>
    <cellStyle name="Calculation 2 4 4 2" xfId="21360"/>
    <cellStyle name="Calculation 2 4 4 3" xfId="21464"/>
    <cellStyle name="Calculation 2 4 5" xfId="774"/>
    <cellStyle name="Calculation 2 4 5 2" xfId="21359"/>
    <cellStyle name="Calculation 2 4 5 3" xfId="21465"/>
    <cellStyle name="Calculation 2 5" xfId="775"/>
    <cellStyle name="Calculation 2 5 2" xfId="776"/>
    <cellStyle name="Calculation 2 5 2 2" xfId="21358"/>
    <cellStyle name="Calculation 2 5 2 3" xfId="21466"/>
    <cellStyle name="Calculation 2 5 3" xfId="777"/>
    <cellStyle name="Calculation 2 5 3 2" xfId="21357"/>
    <cellStyle name="Calculation 2 5 3 3" xfId="21467"/>
    <cellStyle name="Calculation 2 5 4" xfId="778"/>
    <cellStyle name="Calculation 2 5 4 2" xfId="21356"/>
    <cellStyle name="Calculation 2 5 4 3" xfId="21468"/>
    <cellStyle name="Calculation 2 5 5" xfId="779"/>
    <cellStyle name="Calculation 2 5 5 2" xfId="21355"/>
    <cellStyle name="Calculation 2 5 5 3" xfId="21469"/>
    <cellStyle name="Calculation 2 6" xfId="780"/>
    <cellStyle name="Calculation 2 6 2" xfId="781"/>
    <cellStyle name="Calculation 2 6 2 2" xfId="21354"/>
    <cellStyle name="Calculation 2 6 2 3" xfId="21470"/>
    <cellStyle name="Calculation 2 6 3" xfId="782"/>
    <cellStyle name="Calculation 2 6 3 2" xfId="21353"/>
    <cellStyle name="Calculation 2 6 3 3" xfId="21471"/>
    <cellStyle name="Calculation 2 6 4" xfId="783"/>
    <cellStyle name="Calculation 2 6 4 2" xfId="21352"/>
    <cellStyle name="Calculation 2 6 4 3" xfId="21472"/>
    <cellStyle name="Calculation 2 6 5" xfId="784"/>
    <cellStyle name="Calculation 2 6 5 2" xfId="21351"/>
    <cellStyle name="Calculation 2 6 5 3" xfId="21473"/>
    <cellStyle name="Calculation 2 7" xfId="785"/>
    <cellStyle name="Calculation 2 7 2" xfId="786"/>
    <cellStyle name="Calculation 2 7 2 2" xfId="21350"/>
    <cellStyle name="Calculation 2 7 2 3" xfId="21474"/>
    <cellStyle name="Calculation 2 7 3" xfId="787"/>
    <cellStyle name="Calculation 2 7 3 2" xfId="21349"/>
    <cellStyle name="Calculation 2 7 3 3" xfId="21475"/>
    <cellStyle name="Calculation 2 7 4" xfId="788"/>
    <cellStyle name="Calculation 2 7 4 2" xfId="21348"/>
    <cellStyle name="Calculation 2 7 4 3" xfId="21476"/>
    <cellStyle name="Calculation 2 7 5" xfId="789"/>
    <cellStyle name="Calculation 2 7 5 2" xfId="21347"/>
    <cellStyle name="Calculation 2 7 5 3" xfId="21477"/>
    <cellStyle name="Calculation 2 8" xfId="790"/>
    <cellStyle name="Calculation 2 8 2" xfId="791"/>
    <cellStyle name="Calculation 2 8 2 2" xfId="21346"/>
    <cellStyle name="Calculation 2 8 2 3" xfId="21478"/>
    <cellStyle name="Calculation 2 8 3" xfId="792"/>
    <cellStyle name="Calculation 2 8 3 2" xfId="21345"/>
    <cellStyle name="Calculation 2 8 3 3" xfId="21479"/>
    <cellStyle name="Calculation 2 8 4" xfId="793"/>
    <cellStyle name="Calculation 2 8 4 2" xfId="21344"/>
    <cellStyle name="Calculation 2 8 4 3" xfId="21480"/>
    <cellStyle name="Calculation 2 8 5" xfId="794"/>
    <cellStyle name="Calculation 2 8 5 2" xfId="21343"/>
    <cellStyle name="Calculation 2 8 5 3" xfId="21481"/>
    <cellStyle name="Calculation 2 9" xfId="795"/>
    <cellStyle name="Calculation 2 9 2" xfId="796"/>
    <cellStyle name="Calculation 2 9 2 2" xfId="21342"/>
    <cellStyle name="Calculation 2 9 2 3" xfId="21482"/>
    <cellStyle name="Calculation 2 9 3" xfId="797"/>
    <cellStyle name="Calculation 2 9 3 2" xfId="21341"/>
    <cellStyle name="Calculation 2 9 3 3" xfId="21483"/>
    <cellStyle name="Calculation 2 9 4" xfId="798"/>
    <cellStyle name="Calculation 2 9 4 2" xfId="21340"/>
    <cellStyle name="Calculation 2 9 4 3" xfId="21484"/>
    <cellStyle name="Calculation 2 9 5" xfId="799"/>
    <cellStyle name="Calculation 2 9 5 2" xfId="21339"/>
    <cellStyle name="Calculation 2 9 5 3" xfId="21485"/>
    <cellStyle name="Calculation 3" xfId="800"/>
    <cellStyle name="Calculation 3 2" xfId="801"/>
    <cellStyle name="Calculation 3 2 2" xfId="21337"/>
    <cellStyle name="Calculation 3 2 3" xfId="21487"/>
    <cellStyle name="Calculation 3 3" xfId="802"/>
    <cellStyle name="Calculation 3 3 2" xfId="21336"/>
    <cellStyle name="Calculation 3 3 3" xfId="21488"/>
    <cellStyle name="Calculation 3 4" xfId="21338"/>
    <cellStyle name="Calculation 3 5" xfId="21486"/>
    <cellStyle name="Calculation 4" xfId="803"/>
    <cellStyle name="Calculation 4 2" xfId="804"/>
    <cellStyle name="Calculation 4 2 2" xfId="21334"/>
    <cellStyle name="Calculation 4 2 3" xfId="21490"/>
    <cellStyle name="Calculation 4 3" xfId="805"/>
    <cellStyle name="Calculation 4 3 2" xfId="21333"/>
    <cellStyle name="Calculation 4 3 3" xfId="21491"/>
    <cellStyle name="Calculation 4 4" xfId="21335"/>
    <cellStyle name="Calculation 4 5" xfId="21489"/>
    <cellStyle name="Calculation 5" xfId="806"/>
    <cellStyle name="Calculation 5 2" xfId="807"/>
    <cellStyle name="Calculation 5 2 2" xfId="21331"/>
    <cellStyle name="Calculation 5 2 3" xfId="21493"/>
    <cellStyle name="Calculation 5 3" xfId="808"/>
    <cellStyle name="Calculation 5 3 2" xfId="21330"/>
    <cellStyle name="Calculation 5 3 3" xfId="21494"/>
    <cellStyle name="Calculation 5 4" xfId="21332"/>
    <cellStyle name="Calculation 5 5" xfId="21492"/>
    <cellStyle name="Calculation 6" xfId="809"/>
    <cellStyle name="Calculation 6 2" xfId="810"/>
    <cellStyle name="Calculation 6 2 2" xfId="21328"/>
    <cellStyle name="Calculation 6 2 3" xfId="21496"/>
    <cellStyle name="Calculation 6 3" xfId="811"/>
    <cellStyle name="Calculation 6 3 2" xfId="21327"/>
    <cellStyle name="Calculation 6 3 3" xfId="21497"/>
    <cellStyle name="Calculation 6 4" xfId="21329"/>
    <cellStyle name="Calculation 6 5" xfId="21495"/>
    <cellStyle name="Calculation 7" xfId="812"/>
    <cellStyle name="Calculation 7 2" xfId="21326"/>
    <cellStyle name="Calculation 7 3" xfId="21498"/>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2 8" xfId="21864"/>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0 3" xfId="21500"/>
    <cellStyle name="Gia's 11" xfId="21325"/>
    <cellStyle name="Gia's 12" xfId="21499"/>
    <cellStyle name="Gia's 2" xfId="9187"/>
    <cellStyle name="Gia's 2 2" xfId="21323"/>
    <cellStyle name="Gia's 2 3" xfId="21501"/>
    <cellStyle name="Gia's 3" xfId="9188"/>
    <cellStyle name="Gia's 3 2" xfId="21322"/>
    <cellStyle name="Gia's 3 3" xfId="21502"/>
    <cellStyle name="Gia's 4" xfId="9189"/>
    <cellStyle name="Gia's 4 2" xfId="21321"/>
    <cellStyle name="Gia's 4 3" xfId="21503"/>
    <cellStyle name="Gia's 5" xfId="9190"/>
    <cellStyle name="Gia's 5 2" xfId="21320"/>
    <cellStyle name="Gia's 5 3" xfId="21504"/>
    <cellStyle name="Gia's 6" xfId="9191"/>
    <cellStyle name="Gia's 6 2" xfId="21319"/>
    <cellStyle name="Gia's 6 3" xfId="21505"/>
    <cellStyle name="Gia's 7" xfId="9192"/>
    <cellStyle name="Gia's 7 2" xfId="21318"/>
    <cellStyle name="Gia's 7 3" xfId="21506"/>
    <cellStyle name="Gia's 8" xfId="9193"/>
    <cellStyle name="Gia's 8 2" xfId="21317"/>
    <cellStyle name="Gia's 8 3" xfId="21507"/>
    <cellStyle name="Gia's 9" xfId="9194"/>
    <cellStyle name="Gia's 9 2" xfId="21316"/>
    <cellStyle name="Gia's 9 3" xfId="21508"/>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greyed 3" xfId="21509"/>
    <cellStyle name="Header1" xfId="9222"/>
    <cellStyle name="Header1 2" xfId="9223"/>
    <cellStyle name="Header1 3" xfId="9224"/>
    <cellStyle name="Header2" xfId="9225"/>
    <cellStyle name="Header2 2" xfId="9226"/>
    <cellStyle name="Header2 2 2" xfId="21313"/>
    <cellStyle name="Header2 2 3" xfId="21511"/>
    <cellStyle name="Header2 3" xfId="9227"/>
    <cellStyle name="Header2 3 2" xfId="21312"/>
    <cellStyle name="Header2 3 3" xfId="21512"/>
    <cellStyle name="Header2 4" xfId="21314"/>
    <cellStyle name="Header2 5" xfId="21510"/>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eadingTable 3" xfId="21513"/>
    <cellStyle name="highlightExposure" xfId="9323"/>
    <cellStyle name="highlightExposure 2" xfId="21310"/>
    <cellStyle name="highlightExposure 3" xfId="21514"/>
    <cellStyle name="highlightPercentage" xfId="9324"/>
    <cellStyle name="highlightPercentage 2" xfId="21309"/>
    <cellStyle name="highlightPercentage 3" xfId="21515"/>
    <cellStyle name="highlightText" xfId="9325"/>
    <cellStyle name="highlightText 2" xfId="21308"/>
    <cellStyle name="highlightText 3" xfId="21516"/>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2 3" xfId="21518"/>
    <cellStyle name="Input 2 10 3" xfId="9336"/>
    <cellStyle name="Input 2 10 3 2" xfId="21305"/>
    <cellStyle name="Input 2 10 3 3" xfId="21519"/>
    <cellStyle name="Input 2 10 4" xfId="9337"/>
    <cellStyle name="Input 2 10 4 2" xfId="21304"/>
    <cellStyle name="Input 2 10 4 3" xfId="21520"/>
    <cellStyle name="Input 2 10 5" xfId="9338"/>
    <cellStyle name="Input 2 10 5 2" xfId="21303"/>
    <cellStyle name="Input 2 10 5 3" xfId="21521"/>
    <cellStyle name="Input 2 11" xfId="9339"/>
    <cellStyle name="Input 2 11 2" xfId="9340"/>
    <cellStyle name="Input 2 11 2 2" xfId="21301"/>
    <cellStyle name="Input 2 11 2 3" xfId="21523"/>
    <cellStyle name="Input 2 11 3" xfId="9341"/>
    <cellStyle name="Input 2 11 3 2" xfId="21300"/>
    <cellStyle name="Input 2 11 3 3" xfId="21524"/>
    <cellStyle name="Input 2 11 4" xfId="9342"/>
    <cellStyle name="Input 2 11 4 2" xfId="21299"/>
    <cellStyle name="Input 2 11 4 3" xfId="21525"/>
    <cellStyle name="Input 2 11 5" xfId="9343"/>
    <cellStyle name="Input 2 11 5 2" xfId="21298"/>
    <cellStyle name="Input 2 11 5 3" xfId="21526"/>
    <cellStyle name="Input 2 11 6" xfId="21302"/>
    <cellStyle name="Input 2 11 7" xfId="21522"/>
    <cellStyle name="Input 2 12" xfId="9344"/>
    <cellStyle name="Input 2 12 2" xfId="9345"/>
    <cellStyle name="Input 2 12 2 2" xfId="21296"/>
    <cellStyle name="Input 2 12 2 3" xfId="21528"/>
    <cellStyle name="Input 2 12 3" xfId="9346"/>
    <cellStyle name="Input 2 12 3 2" xfId="21295"/>
    <cellStyle name="Input 2 12 3 3" xfId="21529"/>
    <cellStyle name="Input 2 12 4" xfId="9347"/>
    <cellStyle name="Input 2 12 4 2" xfId="21294"/>
    <cellStyle name="Input 2 12 4 3" xfId="21530"/>
    <cellStyle name="Input 2 12 5" xfId="9348"/>
    <cellStyle name="Input 2 12 5 2" xfId="21293"/>
    <cellStyle name="Input 2 12 5 3" xfId="21531"/>
    <cellStyle name="Input 2 12 6" xfId="21297"/>
    <cellStyle name="Input 2 12 7" xfId="21527"/>
    <cellStyle name="Input 2 13" xfId="9349"/>
    <cellStyle name="Input 2 13 2" xfId="9350"/>
    <cellStyle name="Input 2 13 2 2" xfId="21291"/>
    <cellStyle name="Input 2 13 2 3" xfId="21533"/>
    <cellStyle name="Input 2 13 3" xfId="9351"/>
    <cellStyle name="Input 2 13 3 2" xfId="21290"/>
    <cellStyle name="Input 2 13 3 3" xfId="21534"/>
    <cellStyle name="Input 2 13 4" xfId="9352"/>
    <cellStyle name="Input 2 13 4 2" xfId="21289"/>
    <cellStyle name="Input 2 13 4 3" xfId="21535"/>
    <cellStyle name="Input 2 13 5" xfId="21292"/>
    <cellStyle name="Input 2 13 6" xfId="21532"/>
    <cellStyle name="Input 2 14" xfId="9353"/>
    <cellStyle name="Input 2 14 2" xfId="21288"/>
    <cellStyle name="Input 2 14 3" xfId="21536"/>
    <cellStyle name="Input 2 15" xfId="9354"/>
    <cellStyle name="Input 2 15 2" xfId="21287"/>
    <cellStyle name="Input 2 15 3" xfId="21537"/>
    <cellStyle name="Input 2 16" xfId="9355"/>
    <cellStyle name="Input 2 16 2" xfId="21286"/>
    <cellStyle name="Input 2 16 3" xfId="21538"/>
    <cellStyle name="Input 2 17" xfId="21307"/>
    <cellStyle name="Input 2 18" xfId="21517"/>
    <cellStyle name="Input 2 2" xfId="9356"/>
    <cellStyle name="Input 2 2 10" xfId="21285"/>
    <cellStyle name="Input 2 2 11" xfId="21539"/>
    <cellStyle name="Input 2 2 2" xfId="9357"/>
    <cellStyle name="Input 2 2 2 2" xfId="9358"/>
    <cellStyle name="Input 2 2 2 2 2" xfId="21283"/>
    <cellStyle name="Input 2 2 2 2 3" xfId="21541"/>
    <cellStyle name="Input 2 2 2 3" xfId="9359"/>
    <cellStyle name="Input 2 2 2 3 2" xfId="21282"/>
    <cellStyle name="Input 2 2 2 3 3" xfId="21542"/>
    <cellStyle name="Input 2 2 2 4" xfId="9360"/>
    <cellStyle name="Input 2 2 2 4 2" xfId="21281"/>
    <cellStyle name="Input 2 2 2 4 3" xfId="21543"/>
    <cellStyle name="Input 2 2 2 5" xfId="21284"/>
    <cellStyle name="Input 2 2 2 6" xfId="21540"/>
    <cellStyle name="Input 2 2 3" xfId="9361"/>
    <cellStyle name="Input 2 2 3 2" xfId="9362"/>
    <cellStyle name="Input 2 2 3 2 2" xfId="21279"/>
    <cellStyle name="Input 2 2 3 2 3" xfId="21545"/>
    <cellStyle name="Input 2 2 3 3" xfId="9363"/>
    <cellStyle name="Input 2 2 3 3 2" xfId="21278"/>
    <cellStyle name="Input 2 2 3 3 3" xfId="21546"/>
    <cellStyle name="Input 2 2 3 4" xfId="9364"/>
    <cellStyle name="Input 2 2 3 4 2" xfId="21277"/>
    <cellStyle name="Input 2 2 3 4 3" xfId="21547"/>
    <cellStyle name="Input 2 2 3 5" xfId="21280"/>
    <cellStyle name="Input 2 2 3 6" xfId="21544"/>
    <cellStyle name="Input 2 2 4" xfId="9365"/>
    <cellStyle name="Input 2 2 4 2" xfId="9366"/>
    <cellStyle name="Input 2 2 4 2 2" xfId="21275"/>
    <cellStyle name="Input 2 2 4 2 3" xfId="21549"/>
    <cellStyle name="Input 2 2 4 3" xfId="9367"/>
    <cellStyle name="Input 2 2 4 3 2" xfId="21274"/>
    <cellStyle name="Input 2 2 4 3 3" xfId="21550"/>
    <cellStyle name="Input 2 2 4 4" xfId="9368"/>
    <cellStyle name="Input 2 2 4 4 2" xfId="21273"/>
    <cellStyle name="Input 2 2 4 4 3" xfId="21551"/>
    <cellStyle name="Input 2 2 4 5" xfId="21276"/>
    <cellStyle name="Input 2 2 4 6" xfId="21548"/>
    <cellStyle name="Input 2 2 5" xfId="9369"/>
    <cellStyle name="Input 2 2 5 2" xfId="9370"/>
    <cellStyle name="Input 2 2 5 2 2" xfId="21271"/>
    <cellStyle name="Input 2 2 5 2 3" xfId="21553"/>
    <cellStyle name="Input 2 2 5 3" xfId="9371"/>
    <cellStyle name="Input 2 2 5 3 2" xfId="21270"/>
    <cellStyle name="Input 2 2 5 3 3" xfId="21554"/>
    <cellStyle name="Input 2 2 5 4" xfId="9372"/>
    <cellStyle name="Input 2 2 5 4 2" xfId="21269"/>
    <cellStyle name="Input 2 2 5 4 3" xfId="21555"/>
    <cellStyle name="Input 2 2 5 5" xfId="21272"/>
    <cellStyle name="Input 2 2 5 6" xfId="21552"/>
    <cellStyle name="Input 2 2 6" xfId="9373"/>
    <cellStyle name="Input 2 2 6 2" xfId="21268"/>
    <cellStyle name="Input 2 2 6 3" xfId="21556"/>
    <cellStyle name="Input 2 2 7" xfId="9374"/>
    <cellStyle name="Input 2 2 7 2" xfId="21267"/>
    <cellStyle name="Input 2 2 7 3" xfId="21557"/>
    <cellStyle name="Input 2 2 8" xfId="9375"/>
    <cellStyle name="Input 2 2 8 2" xfId="21266"/>
    <cellStyle name="Input 2 2 8 3" xfId="21558"/>
    <cellStyle name="Input 2 2 9" xfId="9376"/>
    <cellStyle name="Input 2 2 9 2" xfId="21265"/>
    <cellStyle name="Input 2 2 9 3" xfId="21559"/>
    <cellStyle name="Input 2 3" xfId="9377"/>
    <cellStyle name="Input 2 3 2" xfId="9378"/>
    <cellStyle name="Input 2 3 2 2" xfId="21264"/>
    <cellStyle name="Input 2 3 2 3" xfId="21560"/>
    <cellStyle name="Input 2 3 3" xfId="9379"/>
    <cellStyle name="Input 2 3 3 2" xfId="21263"/>
    <cellStyle name="Input 2 3 3 3" xfId="21561"/>
    <cellStyle name="Input 2 3 4" xfId="9380"/>
    <cellStyle name="Input 2 3 4 2" xfId="21262"/>
    <cellStyle name="Input 2 3 4 3" xfId="21562"/>
    <cellStyle name="Input 2 3 5" xfId="9381"/>
    <cellStyle name="Input 2 3 5 2" xfId="21261"/>
    <cellStyle name="Input 2 3 5 3" xfId="21563"/>
    <cellStyle name="Input 2 4" xfId="9382"/>
    <cellStyle name="Input 2 4 2" xfId="9383"/>
    <cellStyle name="Input 2 4 2 2" xfId="21260"/>
    <cellStyle name="Input 2 4 2 3" xfId="21564"/>
    <cellStyle name="Input 2 4 3" xfId="9384"/>
    <cellStyle name="Input 2 4 3 2" xfId="21259"/>
    <cellStyle name="Input 2 4 3 3" xfId="21565"/>
    <cellStyle name="Input 2 4 4" xfId="9385"/>
    <cellStyle name="Input 2 4 4 2" xfId="21258"/>
    <cellStyle name="Input 2 4 4 3" xfId="21566"/>
    <cellStyle name="Input 2 4 5" xfId="9386"/>
    <cellStyle name="Input 2 4 5 2" xfId="21257"/>
    <cellStyle name="Input 2 4 5 3" xfId="21567"/>
    <cellStyle name="Input 2 5" xfId="9387"/>
    <cellStyle name="Input 2 5 2" xfId="9388"/>
    <cellStyle name="Input 2 5 2 2" xfId="21256"/>
    <cellStyle name="Input 2 5 2 3" xfId="21568"/>
    <cellStyle name="Input 2 5 3" xfId="9389"/>
    <cellStyle name="Input 2 5 3 2" xfId="21255"/>
    <cellStyle name="Input 2 5 3 3" xfId="21569"/>
    <cellStyle name="Input 2 5 4" xfId="9390"/>
    <cellStyle name="Input 2 5 4 2" xfId="21254"/>
    <cellStyle name="Input 2 5 4 3" xfId="21570"/>
    <cellStyle name="Input 2 5 5" xfId="9391"/>
    <cellStyle name="Input 2 5 5 2" xfId="21253"/>
    <cellStyle name="Input 2 5 5 3" xfId="21571"/>
    <cellStyle name="Input 2 6" xfId="9392"/>
    <cellStyle name="Input 2 6 2" xfId="9393"/>
    <cellStyle name="Input 2 6 2 2" xfId="21252"/>
    <cellStyle name="Input 2 6 2 3" xfId="21572"/>
    <cellStyle name="Input 2 6 3" xfId="9394"/>
    <cellStyle name="Input 2 6 3 2" xfId="21251"/>
    <cellStyle name="Input 2 6 3 3" xfId="21573"/>
    <cellStyle name="Input 2 6 4" xfId="9395"/>
    <cellStyle name="Input 2 6 4 2" xfId="21250"/>
    <cellStyle name="Input 2 6 4 3" xfId="21574"/>
    <cellStyle name="Input 2 6 5" xfId="9396"/>
    <cellStyle name="Input 2 6 5 2" xfId="21249"/>
    <cellStyle name="Input 2 6 5 3" xfId="21575"/>
    <cellStyle name="Input 2 7" xfId="9397"/>
    <cellStyle name="Input 2 7 2" xfId="9398"/>
    <cellStyle name="Input 2 7 2 2" xfId="21248"/>
    <cellStyle name="Input 2 7 2 3" xfId="21576"/>
    <cellStyle name="Input 2 7 3" xfId="9399"/>
    <cellStyle name="Input 2 7 3 2" xfId="21247"/>
    <cellStyle name="Input 2 7 3 3" xfId="21577"/>
    <cellStyle name="Input 2 7 4" xfId="9400"/>
    <cellStyle name="Input 2 7 4 2" xfId="21246"/>
    <cellStyle name="Input 2 7 4 3" xfId="21578"/>
    <cellStyle name="Input 2 7 5" xfId="9401"/>
    <cellStyle name="Input 2 7 5 2" xfId="21245"/>
    <cellStyle name="Input 2 7 5 3" xfId="21579"/>
    <cellStyle name="Input 2 8" xfId="9402"/>
    <cellStyle name="Input 2 8 2" xfId="9403"/>
    <cellStyle name="Input 2 8 2 2" xfId="21244"/>
    <cellStyle name="Input 2 8 2 3" xfId="21580"/>
    <cellStyle name="Input 2 8 3" xfId="9404"/>
    <cellStyle name="Input 2 8 3 2" xfId="21243"/>
    <cellStyle name="Input 2 8 3 3" xfId="21581"/>
    <cellStyle name="Input 2 8 4" xfId="9405"/>
    <cellStyle name="Input 2 8 4 2" xfId="21242"/>
    <cellStyle name="Input 2 8 4 3" xfId="21582"/>
    <cellStyle name="Input 2 8 5" xfId="9406"/>
    <cellStyle name="Input 2 8 5 2" xfId="21241"/>
    <cellStyle name="Input 2 8 5 3" xfId="21583"/>
    <cellStyle name="Input 2 9" xfId="9407"/>
    <cellStyle name="Input 2 9 2" xfId="9408"/>
    <cellStyle name="Input 2 9 2 2" xfId="21240"/>
    <cellStyle name="Input 2 9 2 3" xfId="21584"/>
    <cellStyle name="Input 2 9 3" xfId="9409"/>
    <cellStyle name="Input 2 9 3 2" xfId="21239"/>
    <cellStyle name="Input 2 9 3 3" xfId="21585"/>
    <cellStyle name="Input 2 9 4" xfId="9410"/>
    <cellStyle name="Input 2 9 4 2" xfId="21238"/>
    <cellStyle name="Input 2 9 4 3" xfId="21586"/>
    <cellStyle name="Input 2 9 5" xfId="9411"/>
    <cellStyle name="Input 2 9 5 2" xfId="21237"/>
    <cellStyle name="Input 2 9 5 3" xfId="21587"/>
    <cellStyle name="Input 3" xfId="9412"/>
    <cellStyle name="Input 3 2" xfId="9413"/>
    <cellStyle name="Input 3 2 2" xfId="21235"/>
    <cellStyle name="Input 3 2 3" xfId="21589"/>
    <cellStyle name="Input 3 3" xfId="9414"/>
    <cellStyle name="Input 3 3 2" xfId="21234"/>
    <cellStyle name="Input 3 3 3" xfId="21590"/>
    <cellStyle name="Input 3 4" xfId="21236"/>
    <cellStyle name="Input 3 5" xfId="21588"/>
    <cellStyle name="Input 4" xfId="9415"/>
    <cellStyle name="Input 4 2" xfId="9416"/>
    <cellStyle name="Input 4 2 2" xfId="21232"/>
    <cellStyle name="Input 4 2 3" xfId="21592"/>
    <cellStyle name="Input 4 3" xfId="9417"/>
    <cellStyle name="Input 4 3 2" xfId="21231"/>
    <cellStyle name="Input 4 3 3" xfId="21593"/>
    <cellStyle name="Input 4 4" xfId="21233"/>
    <cellStyle name="Input 4 5" xfId="21591"/>
    <cellStyle name="Input 5" xfId="9418"/>
    <cellStyle name="Input 5 2" xfId="9419"/>
    <cellStyle name="Input 5 2 2" xfId="21229"/>
    <cellStyle name="Input 5 2 3" xfId="21595"/>
    <cellStyle name="Input 5 3" xfId="9420"/>
    <cellStyle name="Input 5 3 2" xfId="21228"/>
    <cellStyle name="Input 5 3 3" xfId="21596"/>
    <cellStyle name="Input 5 4" xfId="21230"/>
    <cellStyle name="Input 5 5" xfId="21594"/>
    <cellStyle name="Input 6" xfId="9421"/>
    <cellStyle name="Input 6 2" xfId="9422"/>
    <cellStyle name="Input 6 2 2" xfId="21226"/>
    <cellStyle name="Input 6 2 3" xfId="21598"/>
    <cellStyle name="Input 6 3" xfId="9423"/>
    <cellStyle name="Input 6 3 2" xfId="21225"/>
    <cellStyle name="Input 6 3 3" xfId="21599"/>
    <cellStyle name="Input 6 4" xfId="21227"/>
    <cellStyle name="Input 6 5" xfId="21597"/>
    <cellStyle name="Input 7" xfId="9424"/>
    <cellStyle name="Input 7 2" xfId="21224"/>
    <cellStyle name="Input 7 3" xfId="21600"/>
    <cellStyle name="inputExposure" xfId="9425"/>
    <cellStyle name="inputExposure 2" xfId="21223"/>
    <cellStyle name="inputExposure 3" xfId="21601"/>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24" xfId="21863"/>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2 3" xfId="21603"/>
    <cellStyle name="Note 2 10 3" xfId="20386"/>
    <cellStyle name="Note 2 10 3 2" xfId="21220"/>
    <cellStyle name="Note 2 10 3 3" xfId="21604"/>
    <cellStyle name="Note 2 10 4" xfId="20387"/>
    <cellStyle name="Note 2 10 4 2" xfId="21219"/>
    <cellStyle name="Note 2 10 4 3" xfId="21605"/>
    <cellStyle name="Note 2 10 5" xfId="20388"/>
    <cellStyle name="Note 2 10 5 2" xfId="21218"/>
    <cellStyle name="Note 2 10 5 3" xfId="21606"/>
    <cellStyle name="Note 2 11" xfId="20389"/>
    <cellStyle name="Note 2 11 2" xfId="20390"/>
    <cellStyle name="Note 2 11 2 2" xfId="21217"/>
    <cellStyle name="Note 2 11 2 3" xfId="21607"/>
    <cellStyle name="Note 2 11 3" xfId="20391"/>
    <cellStyle name="Note 2 11 3 2" xfId="21216"/>
    <cellStyle name="Note 2 11 3 3" xfId="21608"/>
    <cellStyle name="Note 2 11 4" xfId="20392"/>
    <cellStyle name="Note 2 11 4 2" xfId="21215"/>
    <cellStyle name="Note 2 11 4 3" xfId="21609"/>
    <cellStyle name="Note 2 11 5" xfId="20393"/>
    <cellStyle name="Note 2 11 5 2" xfId="21214"/>
    <cellStyle name="Note 2 11 5 3" xfId="21610"/>
    <cellStyle name="Note 2 12" xfId="20394"/>
    <cellStyle name="Note 2 12 2" xfId="20395"/>
    <cellStyle name="Note 2 12 2 2" xfId="21213"/>
    <cellStyle name="Note 2 12 2 3" xfId="21611"/>
    <cellStyle name="Note 2 12 3" xfId="20396"/>
    <cellStyle name="Note 2 12 3 2" xfId="21212"/>
    <cellStyle name="Note 2 12 3 3" xfId="21612"/>
    <cellStyle name="Note 2 12 4" xfId="20397"/>
    <cellStyle name="Note 2 12 4 2" xfId="21211"/>
    <cellStyle name="Note 2 12 4 3" xfId="21613"/>
    <cellStyle name="Note 2 12 5" xfId="20398"/>
    <cellStyle name="Note 2 12 5 2" xfId="21210"/>
    <cellStyle name="Note 2 12 5 3" xfId="21614"/>
    <cellStyle name="Note 2 13" xfId="20399"/>
    <cellStyle name="Note 2 13 2" xfId="20400"/>
    <cellStyle name="Note 2 13 2 2" xfId="21209"/>
    <cellStyle name="Note 2 13 2 3" xfId="21615"/>
    <cellStyle name="Note 2 13 3" xfId="20401"/>
    <cellStyle name="Note 2 13 3 2" xfId="21208"/>
    <cellStyle name="Note 2 13 3 3" xfId="21616"/>
    <cellStyle name="Note 2 13 4" xfId="20402"/>
    <cellStyle name="Note 2 13 4 2" xfId="21207"/>
    <cellStyle name="Note 2 13 4 3" xfId="21617"/>
    <cellStyle name="Note 2 13 5" xfId="20403"/>
    <cellStyle name="Note 2 13 5 2" xfId="21206"/>
    <cellStyle name="Note 2 13 5 3" xfId="21618"/>
    <cellStyle name="Note 2 14" xfId="20404"/>
    <cellStyle name="Note 2 14 2" xfId="20405"/>
    <cellStyle name="Note 2 14 2 2" xfId="21204"/>
    <cellStyle name="Note 2 14 2 3" xfId="21620"/>
    <cellStyle name="Note 2 14 3" xfId="21205"/>
    <cellStyle name="Note 2 14 4" xfId="21619"/>
    <cellStyle name="Note 2 15" xfId="20406"/>
    <cellStyle name="Note 2 15 2" xfId="20407"/>
    <cellStyle name="Note 2 15 2 2" xfId="21203"/>
    <cellStyle name="Note 2 15 2 3" xfId="21621"/>
    <cellStyle name="Note 2 16" xfId="20408"/>
    <cellStyle name="Note 2 16 2" xfId="21202"/>
    <cellStyle name="Note 2 16 3" xfId="21622"/>
    <cellStyle name="Note 2 17" xfId="20409"/>
    <cellStyle name="Note 2 17 2" xfId="21201"/>
    <cellStyle name="Note 2 17 3" xfId="21623"/>
    <cellStyle name="Note 2 18" xfId="21222"/>
    <cellStyle name="Note 2 19" xfId="21602"/>
    <cellStyle name="Note 2 2" xfId="20410"/>
    <cellStyle name="Note 2 2 10" xfId="20411"/>
    <cellStyle name="Note 2 2 10 2" xfId="21199"/>
    <cellStyle name="Note 2 2 10 3" xfId="21625"/>
    <cellStyle name="Note 2 2 11" xfId="21200"/>
    <cellStyle name="Note 2 2 12" xfId="21624"/>
    <cellStyle name="Note 2 2 2" xfId="20412"/>
    <cellStyle name="Note 2 2 2 2" xfId="20413"/>
    <cellStyle name="Note 2 2 2 2 2" xfId="21197"/>
    <cellStyle name="Note 2 2 2 2 3" xfId="21627"/>
    <cellStyle name="Note 2 2 2 3" xfId="20414"/>
    <cellStyle name="Note 2 2 2 3 2" xfId="21196"/>
    <cellStyle name="Note 2 2 2 3 3" xfId="21628"/>
    <cellStyle name="Note 2 2 2 4" xfId="20415"/>
    <cellStyle name="Note 2 2 2 4 2" xfId="21195"/>
    <cellStyle name="Note 2 2 2 4 3" xfId="21629"/>
    <cellStyle name="Note 2 2 2 5" xfId="20416"/>
    <cellStyle name="Note 2 2 2 5 2" xfId="21194"/>
    <cellStyle name="Note 2 2 2 5 3" xfId="21630"/>
    <cellStyle name="Note 2 2 2 6" xfId="21198"/>
    <cellStyle name="Note 2 2 2 7" xfId="21626"/>
    <cellStyle name="Note 2 2 3" xfId="20417"/>
    <cellStyle name="Note 2 2 3 2" xfId="20418"/>
    <cellStyle name="Note 2 2 3 2 2" xfId="21193"/>
    <cellStyle name="Note 2 2 3 2 3" xfId="21631"/>
    <cellStyle name="Note 2 2 3 3" xfId="20419"/>
    <cellStyle name="Note 2 2 3 3 2" xfId="21192"/>
    <cellStyle name="Note 2 2 3 3 3" xfId="21632"/>
    <cellStyle name="Note 2 2 3 4" xfId="20420"/>
    <cellStyle name="Note 2 2 3 4 2" xfId="21191"/>
    <cellStyle name="Note 2 2 3 4 3" xfId="21633"/>
    <cellStyle name="Note 2 2 3 5" xfId="20421"/>
    <cellStyle name="Note 2 2 3 5 2" xfId="21190"/>
    <cellStyle name="Note 2 2 3 5 3" xfId="21634"/>
    <cellStyle name="Note 2 2 4" xfId="20422"/>
    <cellStyle name="Note 2 2 4 2" xfId="20423"/>
    <cellStyle name="Note 2 2 4 2 2" xfId="21188"/>
    <cellStyle name="Note 2 2 4 2 3" xfId="21636"/>
    <cellStyle name="Note 2 2 4 3" xfId="20424"/>
    <cellStyle name="Note 2 2 4 3 2" xfId="21187"/>
    <cellStyle name="Note 2 2 4 3 3" xfId="21637"/>
    <cellStyle name="Note 2 2 4 4" xfId="20425"/>
    <cellStyle name="Note 2 2 4 4 2" xfId="21186"/>
    <cellStyle name="Note 2 2 4 4 3" xfId="21638"/>
    <cellStyle name="Note 2 2 4 5" xfId="21189"/>
    <cellStyle name="Note 2 2 4 6" xfId="21635"/>
    <cellStyle name="Note 2 2 5" xfId="20426"/>
    <cellStyle name="Note 2 2 5 2" xfId="20427"/>
    <cellStyle name="Note 2 2 5 2 2" xfId="21184"/>
    <cellStyle name="Note 2 2 5 2 3" xfId="21640"/>
    <cellStyle name="Note 2 2 5 3" xfId="20428"/>
    <cellStyle name="Note 2 2 5 3 2" xfId="21183"/>
    <cellStyle name="Note 2 2 5 3 3" xfId="21641"/>
    <cellStyle name="Note 2 2 5 4" xfId="20429"/>
    <cellStyle name="Note 2 2 5 4 2" xfId="21182"/>
    <cellStyle name="Note 2 2 5 4 3" xfId="21642"/>
    <cellStyle name="Note 2 2 5 5" xfId="21185"/>
    <cellStyle name="Note 2 2 5 6" xfId="21639"/>
    <cellStyle name="Note 2 2 6" xfId="20430"/>
    <cellStyle name="Note 2 2 6 2" xfId="21181"/>
    <cellStyle name="Note 2 2 6 3" xfId="21643"/>
    <cellStyle name="Note 2 2 7" xfId="20431"/>
    <cellStyle name="Note 2 2 7 2" xfId="21180"/>
    <cellStyle name="Note 2 2 7 3" xfId="21644"/>
    <cellStyle name="Note 2 2 8" xfId="20432"/>
    <cellStyle name="Note 2 2 8 2" xfId="21179"/>
    <cellStyle name="Note 2 2 8 3" xfId="21645"/>
    <cellStyle name="Note 2 2 9" xfId="20433"/>
    <cellStyle name="Note 2 2 9 2" xfId="21178"/>
    <cellStyle name="Note 2 2 9 3" xfId="21646"/>
    <cellStyle name="Note 2 3" xfId="20434"/>
    <cellStyle name="Note 2 3 2" xfId="20435"/>
    <cellStyle name="Note 2 3 2 2" xfId="21177"/>
    <cellStyle name="Note 2 3 2 3" xfId="21647"/>
    <cellStyle name="Note 2 3 3" xfId="20436"/>
    <cellStyle name="Note 2 3 3 2" xfId="21176"/>
    <cellStyle name="Note 2 3 3 3" xfId="21648"/>
    <cellStyle name="Note 2 3 4" xfId="20437"/>
    <cellStyle name="Note 2 3 4 2" xfId="21175"/>
    <cellStyle name="Note 2 3 4 3" xfId="21649"/>
    <cellStyle name="Note 2 3 5" xfId="20438"/>
    <cellStyle name="Note 2 3 5 2" xfId="21174"/>
    <cellStyle name="Note 2 3 5 3" xfId="21650"/>
    <cellStyle name="Note 2 4" xfId="20439"/>
    <cellStyle name="Note 2 4 2" xfId="20440"/>
    <cellStyle name="Note 2 4 2 2" xfId="20441"/>
    <cellStyle name="Note 2 4 2 2 2" xfId="21173"/>
    <cellStyle name="Note 2 4 2 2 3" xfId="21651"/>
    <cellStyle name="Note 2 4 3" xfId="20442"/>
    <cellStyle name="Note 2 4 3 2" xfId="20443"/>
    <cellStyle name="Note 2 4 3 2 2" xfId="21172"/>
    <cellStyle name="Note 2 4 3 2 3" xfId="21652"/>
    <cellStyle name="Note 2 4 4" xfId="20444"/>
    <cellStyle name="Note 2 4 4 2" xfId="20445"/>
    <cellStyle name="Note 2 4 4 2 2" xfId="21171"/>
    <cellStyle name="Note 2 4 4 2 3" xfId="21653"/>
    <cellStyle name="Note 2 4 5" xfId="20446"/>
    <cellStyle name="Note 2 4 6" xfId="20447"/>
    <cellStyle name="Note 2 4 7" xfId="20448"/>
    <cellStyle name="Note 2 4 7 2" xfId="21170"/>
    <cellStyle name="Note 2 4 7 3" xfId="21654"/>
    <cellStyle name="Note 2 5" xfId="20449"/>
    <cellStyle name="Note 2 5 2" xfId="20450"/>
    <cellStyle name="Note 2 5 2 2" xfId="20451"/>
    <cellStyle name="Note 2 5 2 2 2" xfId="21169"/>
    <cellStyle name="Note 2 5 2 2 3" xfId="21655"/>
    <cellStyle name="Note 2 5 3" xfId="20452"/>
    <cellStyle name="Note 2 5 3 2" xfId="20453"/>
    <cellStyle name="Note 2 5 3 2 2" xfId="21168"/>
    <cellStyle name="Note 2 5 3 2 3" xfId="21656"/>
    <cellStyle name="Note 2 5 4" xfId="20454"/>
    <cellStyle name="Note 2 5 4 2" xfId="20455"/>
    <cellStyle name="Note 2 5 4 2 2" xfId="21167"/>
    <cellStyle name="Note 2 5 4 2 3" xfId="21657"/>
    <cellStyle name="Note 2 5 5" xfId="20456"/>
    <cellStyle name="Note 2 5 6" xfId="20457"/>
    <cellStyle name="Note 2 5 7" xfId="20458"/>
    <cellStyle name="Note 2 5 7 2" xfId="21166"/>
    <cellStyle name="Note 2 5 7 3" xfId="21658"/>
    <cellStyle name="Note 2 6" xfId="20459"/>
    <cellStyle name="Note 2 6 2" xfId="20460"/>
    <cellStyle name="Note 2 6 2 2" xfId="20461"/>
    <cellStyle name="Note 2 6 2 2 2" xfId="21165"/>
    <cellStyle name="Note 2 6 2 2 3" xfId="21659"/>
    <cellStyle name="Note 2 6 3" xfId="20462"/>
    <cellStyle name="Note 2 6 3 2" xfId="20463"/>
    <cellStyle name="Note 2 6 3 2 2" xfId="21164"/>
    <cellStyle name="Note 2 6 3 2 3" xfId="21660"/>
    <cellStyle name="Note 2 6 4" xfId="20464"/>
    <cellStyle name="Note 2 6 4 2" xfId="20465"/>
    <cellStyle name="Note 2 6 4 2 2" xfId="21163"/>
    <cellStyle name="Note 2 6 4 2 3" xfId="21661"/>
    <cellStyle name="Note 2 6 5" xfId="20466"/>
    <cellStyle name="Note 2 6 6" xfId="20467"/>
    <cellStyle name="Note 2 6 7" xfId="20468"/>
    <cellStyle name="Note 2 6 7 2" xfId="21162"/>
    <cellStyle name="Note 2 6 7 3" xfId="21662"/>
    <cellStyle name="Note 2 7" xfId="20469"/>
    <cellStyle name="Note 2 7 2" xfId="20470"/>
    <cellStyle name="Note 2 7 2 2" xfId="20471"/>
    <cellStyle name="Note 2 7 2 2 2" xfId="21161"/>
    <cellStyle name="Note 2 7 2 2 3" xfId="21663"/>
    <cellStyle name="Note 2 7 3" xfId="20472"/>
    <cellStyle name="Note 2 7 3 2" xfId="20473"/>
    <cellStyle name="Note 2 7 3 2 2" xfId="21160"/>
    <cellStyle name="Note 2 7 3 2 3" xfId="21664"/>
    <cellStyle name="Note 2 7 4" xfId="20474"/>
    <cellStyle name="Note 2 7 4 2" xfId="20475"/>
    <cellStyle name="Note 2 7 4 2 2" xfId="21159"/>
    <cellStyle name="Note 2 7 4 2 3" xfId="21665"/>
    <cellStyle name="Note 2 7 5" xfId="20476"/>
    <cellStyle name="Note 2 7 6" xfId="20477"/>
    <cellStyle name="Note 2 7 7" xfId="20478"/>
    <cellStyle name="Note 2 7 7 2" xfId="21158"/>
    <cellStyle name="Note 2 7 7 3" xfId="21666"/>
    <cellStyle name="Note 2 8" xfId="20479"/>
    <cellStyle name="Note 2 8 2" xfId="20480"/>
    <cellStyle name="Note 2 8 2 2" xfId="21157"/>
    <cellStyle name="Note 2 8 2 3" xfId="21667"/>
    <cellStyle name="Note 2 8 3" xfId="20481"/>
    <cellStyle name="Note 2 8 3 2" xfId="21156"/>
    <cellStyle name="Note 2 8 3 3" xfId="21668"/>
    <cellStyle name="Note 2 8 4" xfId="20482"/>
    <cellStyle name="Note 2 8 4 2" xfId="21155"/>
    <cellStyle name="Note 2 8 4 3" xfId="21669"/>
    <cellStyle name="Note 2 8 5" xfId="20483"/>
    <cellStyle name="Note 2 8 5 2" xfId="21154"/>
    <cellStyle name="Note 2 8 5 3" xfId="21670"/>
    <cellStyle name="Note 2 9" xfId="20484"/>
    <cellStyle name="Note 2 9 2" xfId="20485"/>
    <cellStyle name="Note 2 9 2 2" xfId="21153"/>
    <cellStyle name="Note 2 9 2 3" xfId="21671"/>
    <cellStyle name="Note 2 9 3" xfId="20486"/>
    <cellStyle name="Note 2 9 3 2" xfId="21152"/>
    <cellStyle name="Note 2 9 3 3" xfId="21672"/>
    <cellStyle name="Note 2 9 4" xfId="20487"/>
    <cellStyle name="Note 2 9 4 2" xfId="21151"/>
    <cellStyle name="Note 2 9 4 3" xfId="21673"/>
    <cellStyle name="Note 2 9 5" xfId="20488"/>
    <cellStyle name="Note 2 9 5 2" xfId="21150"/>
    <cellStyle name="Note 2 9 5 3" xfId="21674"/>
    <cellStyle name="Note 3 2" xfId="20489"/>
    <cellStyle name="Note 3 2 2" xfId="20490"/>
    <cellStyle name="Note 3 2 2 2" xfId="21148"/>
    <cellStyle name="Note 3 2 2 3" xfId="21676"/>
    <cellStyle name="Note 3 2 3" xfId="20491"/>
    <cellStyle name="Note 3 2 4" xfId="21149"/>
    <cellStyle name="Note 3 2 5" xfId="21675"/>
    <cellStyle name="Note 3 3" xfId="20492"/>
    <cellStyle name="Note 3 3 2" xfId="20493"/>
    <cellStyle name="Note 3 3 3" xfId="21147"/>
    <cellStyle name="Note 3 3 4" xfId="21677"/>
    <cellStyle name="Note 3 4" xfId="20494"/>
    <cellStyle name="Note 3 4 2" xfId="21146"/>
    <cellStyle name="Note 3 4 3" xfId="21678"/>
    <cellStyle name="Note 3 5" xfId="20495"/>
    <cellStyle name="Note 4 2" xfId="20496"/>
    <cellStyle name="Note 4 2 2" xfId="20497"/>
    <cellStyle name="Note 4 2 2 2" xfId="21144"/>
    <cellStyle name="Note 4 2 2 3" xfId="21680"/>
    <cellStyle name="Note 4 2 3" xfId="20498"/>
    <cellStyle name="Note 4 2 4" xfId="21145"/>
    <cellStyle name="Note 4 2 5" xfId="21679"/>
    <cellStyle name="Note 4 3" xfId="20499"/>
    <cellStyle name="Note 4 4" xfId="20500"/>
    <cellStyle name="Note 4 4 2" xfId="21143"/>
    <cellStyle name="Note 4 4 3" xfId="21681"/>
    <cellStyle name="Note 4 5" xfId="20501"/>
    <cellStyle name="Note 5" xfId="20502"/>
    <cellStyle name="Note 5 2" xfId="20503"/>
    <cellStyle name="Note 5 2 2" xfId="20504"/>
    <cellStyle name="Note 5 2 3" xfId="21141"/>
    <cellStyle name="Note 5 2 4" xfId="21683"/>
    <cellStyle name="Note 5 3" xfId="20505"/>
    <cellStyle name="Note 5 3 2" xfId="20506"/>
    <cellStyle name="Note 5 3 3" xfId="21140"/>
    <cellStyle name="Note 5 3 4" xfId="21684"/>
    <cellStyle name="Note 5 4" xfId="20507"/>
    <cellStyle name="Note 5 4 2" xfId="21139"/>
    <cellStyle name="Note 5 4 3" xfId="21685"/>
    <cellStyle name="Note 5 5" xfId="20508"/>
    <cellStyle name="Note 5 6" xfId="21142"/>
    <cellStyle name="Note 5 7" xfId="21682"/>
    <cellStyle name="Note 6" xfId="20509"/>
    <cellStyle name="Note 6 2" xfId="20510"/>
    <cellStyle name="Note 6 2 2" xfId="20511"/>
    <cellStyle name="Note 6 2 3" xfId="21137"/>
    <cellStyle name="Note 6 2 4" xfId="21687"/>
    <cellStyle name="Note 6 3" xfId="20512"/>
    <cellStyle name="Note 6 4" xfId="20513"/>
    <cellStyle name="Note 6 5" xfId="21138"/>
    <cellStyle name="Note 6 6" xfId="21686"/>
    <cellStyle name="Note 7" xfId="20514"/>
    <cellStyle name="Note 7 2" xfId="21136"/>
    <cellStyle name="Note 7 3" xfId="21688"/>
    <cellStyle name="Note 8" xfId="20515"/>
    <cellStyle name="Note 8 2" xfId="20516"/>
    <cellStyle name="Note 8 2 2" xfId="21134"/>
    <cellStyle name="Note 8 2 3" xfId="21690"/>
    <cellStyle name="Note 8 3" xfId="21135"/>
    <cellStyle name="Note 8 4" xfId="21689"/>
    <cellStyle name="Note 9" xfId="20517"/>
    <cellStyle name="Note 9 2" xfId="21133"/>
    <cellStyle name="Note 9 3" xfId="21691"/>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alExposure 3" xfId="2169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2 3" xfId="21694"/>
    <cellStyle name="Output 2 10 3" xfId="20531"/>
    <cellStyle name="Output 2 10 3 2" xfId="21129"/>
    <cellStyle name="Output 2 10 3 3" xfId="21695"/>
    <cellStyle name="Output 2 10 4" xfId="20532"/>
    <cellStyle name="Output 2 10 4 2" xfId="21128"/>
    <cellStyle name="Output 2 10 4 3" xfId="21696"/>
    <cellStyle name="Output 2 10 5" xfId="20533"/>
    <cellStyle name="Output 2 10 5 2" xfId="21127"/>
    <cellStyle name="Output 2 10 5 3" xfId="21697"/>
    <cellStyle name="Output 2 11" xfId="20534"/>
    <cellStyle name="Output 2 11 2" xfId="20535"/>
    <cellStyle name="Output 2 11 2 2" xfId="21125"/>
    <cellStyle name="Output 2 11 2 3" xfId="21699"/>
    <cellStyle name="Output 2 11 3" xfId="20536"/>
    <cellStyle name="Output 2 11 3 2" xfId="21124"/>
    <cellStyle name="Output 2 11 3 3" xfId="21700"/>
    <cellStyle name="Output 2 11 4" xfId="20537"/>
    <cellStyle name="Output 2 11 4 2" xfId="21123"/>
    <cellStyle name="Output 2 11 4 3" xfId="21701"/>
    <cellStyle name="Output 2 11 5" xfId="20538"/>
    <cellStyle name="Output 2 11 5 2" xfId="21122"/>
    <cellStyle name="Output 2 11 5 3" xfId="21702"/>
    <cellStyle name="Output 2 11 6" xfId="21126"/>
    <cellStyle name="Output 2 11 7" xfId="21698"/>
    <cellStyle name="Output 2 12" xfId="20539"/>
    <cellStyle name="Output 2 12 2" xfId="20540"/>
    <cellStyle name="Output 2 12 2 2" xfId="21120"/>
    <cellStyle name="Output 2 12 2 3" xfId="21704"/>
    <cellStyle name="Output 2 12 3" xfId="20541"/>
    <cellStyle name="Output 2 12 3 2" xfId="21119"/>
    <cellStyle name="Output 2 12 3 3" xfId="21705"/>
    <cellStyle name="Output 2 12 4" xfId="20542"/>
    <cellStyle name="Output 2 12 4 2" xfId="21118"/>
    <cellStyle name="Output 2 12 4 3" xfId="21706"/>
    <cellStyle name="Output 2 12 5" xfId="20543"/>
    <cellStyle name="Output 2 12 5 2" xfId="21117"/>
    <cellStyle name="Output 2 12 5 3" xfId="21707"/>
    <cellStyle name="Output 2 12 6" xfId="21121"/>
    <cellStyle name="Output 2 12 7" xfId="21703"/>
    <cellStyle name="Output 2 13" xfId="20544"/>
    <cellStyle name="Output 2 13 2" xfId="20545"/>
    <cellStyle name="Output 2 13 2 2" xfId="21115"/>
    <cellStyle name="Output 2 13 2 3" xfId="21709"/>
    <cellStyle name="Output 2 13 3" xfId="20546"/>
    <cellStyle name="Output 2 13 3 2" xfId="21114"/>
    <cellStyle name="Output 2 13 3 3" xfId="21710"/>
    <cellStyle name="Output 2 13 4" xfId="20547"/>
    <cellStyle name="Output 2 13 4 2" xfId="21113"/>
    <cellStyle name="Output 2 13 4 3" xfId="21711"/>
    <cellStyle name="Output 2 13 5" xfId="21116"/>
    <cellStyle name="Output 2 13 6" xfId="21708"/>
    <cellStyle name="Output 2 14" xfId="20548"/>
    <cellStyle name="Output 2 14 2" xfId="21112"/>
    <cellStyle name="Output 2 14 3" xfId="21712"/>
    <cellStyle name="Output 2 15" xfId="20549"/>
    <cellStyle name="Output 2 15 2" xfId="21111"/>
    <cellStyle name="Output 2 15 3" xfId="21713"/>
    <cellStyle name="Output 2 16" xfId="20550"/>
    <cellStyle name="Output 2 16 2" xfId="21110"/>
    <cellStyle name="Output 2 16 3" xfId="21714"/>
    <cellStyle name="Output 2 17" xfId="21131"/>
    <cellStyle name="Output 2 18" xfId="21693"/>
    <cellStyle name="Output 2 2" xfId="20551"/>
    <cellStyle name="Output 2 2 10" xfId="21109"/>
    <cellStyle name="Output 2 2 11" xfId="21715"/>
    <cellStyle name="Output 2 2 2" xfId="20552"/>
    <cellStyle name="Output 2 2 2 2" xfId="20553"/>
    <cellStyle name="Output 2 2 2 2 2" xfId="21107"/>
    <cellStyle name="Output 2 2 2 2 3" xfId="21717"/>
    <cellStyle name="Output 2 2 2 3" xfId="20554"/>
    <cellStyle name="Output 2 2 2 3 2" xfId="21106"/>
    <cellStyle name="Output 2 2 2 3 3" xfId="21718"/>
    <cellStyle name="Output 2 2 2 4" xfId="20555"/>
    <cellStyle name="Output 2 2 2 4 2" xfId="21105"/>
    <cellStyle name="Output 2 2 2 4 3" xfId="21719"/>
    <cellStyle name="Output 2 2 2 5" xfId="21108"/>
    <cellStyle name="Output 2 2 2 6" xfId="21716"/>
    <cellStyle name="Output 2 2 3" xfId="20556"/>
    <cellStyle name="Output 2 2 3 2" xfId="20557"/>
    <cellStyle name="Output 2 2 3 2 2" xfId="21103"/>
    <cellStyle name="Output 2 2 3 2 3" xfId="21721"/>
    <cellStyle name="Output 2 2 3 3" xfId="20558"/>
    <cellStyle name="Output 2 2 3 3 2" xfId="21102"/>
    <cellStyle name="Output 2 2 3 3 3" xfId="21722"/>
    <cellStyle name="Output 2 2 3 4" xfId="20559"/>
    <cellStyle name="Output 2 2 3 4 2" xfId="21101"/>
    <cellStyle name="Output 2 2 3 4 3" xfId="21723"/>
    <cellStyle name="Output 2 2 3 5" xfId="21104"/>
    <cellStyle name="Output 2 2 3 6" xfId="21720"/>
    <cellStyle name="Output 2 2 4" xfId="20560"/>
    <cellStyle name="Output 2 2 4 2" xfId="20561"/>
    <cellStyle name="Output 2 2 4 2 2" xfId="21099"/>
    <cellStyle name="Output 2 2 4 2 3" xfId="21725"/>
    <cellStyle name="Output 2 2 4 3" xfId="20562"/>
    <cellStyle name="Output 2 2 4 3 2" xfId="21098"/>
    <cellStyle name="Output 2 2 4 3 3" xfId="21726"/>
    <cellStyle name="Output 2 2 4 4" xfId="20563"/>
    <cellStyle name="Output 2 2 4 4 2" xfId="21097"/>
    <cellStyle name="Output 2 2 4 4 3" xfId="21727"/>
    <cellStyle name="Output 2 2 4 5" xfId="21100"/>
    <cellStyle name="Output 2 2 4 6" xfId="21724"/>
    <cellStyle name="Output 2 2 5" xfId="20564"/>
    <cellStyle name="Output 2 2 5 2" xfId="20565"/>
    <cellStyle name="Output 2 2 5 2 2" xfId="21095"/>
    <cellStyle name="Output 2 2 5 2 3" xfId="21729"/>
    <cellStyle name="Output 2 2 5 3" xfId="20566"/>
    <cellStyle name="Output 2 2 5 3 2" xfId="21094"/>
    <cellStyle name="Output 2 2 5 3 3" xfId="21730"/>
    <cellStyle name="Output 2 2 5 4" xfId="20567"/>
    <cellStyle name="Output 2 2 5 4 2" xfId="21093"/>
    <cellStyle name="Output 2 2 5 4 3" xfId="21731"/>
    <cellStyle name="Output 2 2 5 5" xfId="21096"/>
    <cellStyle name="Output 2 2 5 6" xfId="21728"/>
    <cellStyle name="Output 2 2 6" xfId="20568"/>
    <cellStyle name="Output 2 2 6 2" xfId="21092"/>
    <cellStyle name="Output 2 2 6 3" xfId="21732"/>
    <cellStyle name="Output 2 2 7" xfId="20569"/>
    <cellStyle name="Output 2 2 7 2" xfId="21091"/>
    <cellStyle name="Output 2 2 7 3" xfId="21733"/>
    <cellStyle name="Output 2 2 8" xfId="20570"/>
    <cellStyle name="Output 2 2 8 2" xfId="21090"/>
    <cellStyle name="Output 2 2 8 3" xfId="21734"/>
    <cellStyle name="Output 2 2 9" xfId="20571"/>
    <cellStyle name="Output 2 2 9 2" xfId="21089"/>
    <cellStyle name="Output 2 2 9 3" xfId="21735"/>
    <cellStyle name="Output 2 3" xfId="20572"/>
    <cellStyle name="Output 2 3 2" xfId="20573"/>
    <cellStyle name="Output 2 3 2 2" xfId="21088"/>
    <cellStyle name="Output 2 3 2 3" xfId="21736"/>
    <cellStyle name="Output 2 3 3" xfId="20574"/>
    <cellStyle name="Output 2 3 3 2" xfId="21087"/>
    <cellStyle name="Output 2 3 3 3" xfId="21737"/>
    <cellStyle name="Output 2 3 4" xfId="20575"/>
    <cellStyle name="Output 2 3 4 2" xfId="21086"/>
    <cellStyle name="Output 2 3 4 3" xfId="21738"/>
    <cellStyle name="Output 2 3 5" xfId="20576"/>
    <cellStyle name="Output 2 3 5 2" xfId="21085"/>
    <cellStyle name="Output 2 3 5 3" xfId="21739"/>
    <cellStyle name="Output 2 4" xfId="20577"/>
    <cellStyle name="Output 2 4 2" xfId="20578"/>
    <cellStyle name="Output 2 4 2 2" xfId="21084"/>
    <cellStyle name="Output 2 4 2 3" xfId="21740"/>
    <cellStyle name="Output 2 4 3" xfId="20579"/>
    <cellStyle name="Output 2 4 3 2" xfId="21083"/>
    <cellStyle name="Output 2 4 3 3" xfId="21741"/>
    <cellStyle name="Output 2 4 4" xfId="20580"/>
    <cellStyle name="Output 2 4 4 2" xfId="21082"/>
    <cellStyle name="Output 2 4 4 3" xfId="21742"/>
    <cellStyle name="Output 2 4 5" xfId="20581"/>
    <cellStyle name="Output 2 4 5 2" xfId="21081"/>
    <cellStyle name="Output 2 4 5 3" xfId="21743"/>
    <cellStyle name="Output 2 5" xfId="20582"/>
    <cellStyle name="Output 2 5 2" xfId="20583"/>
    <cellStyle name="Output 2 5 2 2" xfId="21080"/>
    <cellStyle name="Output 2 5 2 3" xfId="21744"/>
    <cellStyle name="Output 2 5 3" xfId="20584"/>
    <cellStyle name="Output 2 5 3 2" xfId="21079"/>
    <cellStyle name="Output 2 5 3 3" xfId="21745"/>
    <cellStyle name="Output 2 5 4" xfId="20585"/>
    <cellStyle name="Output 2 5 4 2" xfId="21078"/>
    <cellStyle name="Output 2 5 4 3" xfId="21746"/>
    <cellStyle name="Output 2 5 5" xfId="20586"/>
    <cellStyle name="Output 2 5 5 2" xfId="21077"/>
    <cellStyle name="Output 2 5 5 3" xfId="21747"/>
    <cellStyle name="Output 2 6" xfId="20587"/>
    <cellStyle name="Output 2 6 2" xfId="20588"/>
    <cellStyle name="Output 2 6 2 2" xfId="21076"/>
    <cellStyle name="Output 2 6 2 3" xfId="21748"/>
    <cellStyle name="Output 2 6 3" xfId="20589"/>
    <cellStyle name="Output 2 6 3 2" xfId="21075"/>
    <cellStyle name="Output 2 6 3 3" xfId="21749"/>
    <cellStyle name="Output 2 6 4" xfId="20590"/>
    <cellStyle name="Output 2 6 4 2" xfId="21074"/>
    <cellStyle name="Output 2 6 4 3" xfId="21750"/>
    <cellStyle name="Output 2 6 5" xfId="20591"/>
    <cellStyle name="Output 2 6 5 2" xfId="21073"/>
    <cellStyle name="Output 2 6 5 3" xfId="21751"/>
    <cellStyle name="Output 2 7" xfId="20592"/>
    <cellStyle name="Output 2 7 2" xfId="20593"/>
    <cellStyle name="Output 2 7 2 2" xfId="21072"/>
    <cellStyle name="Output 2 7 2 3" xfId="21752"/>
    <cellStyle name="Output 2 7 3" xfId="20594"/>
    <cellStyle name="Output 2 7 3 2" xfId="21071"/>
    <cellStyle name="Output 2 7 3 3" xfId="21753"/>
    <cellStyle name="Output 2 7 4" xfId="20595"/>
    <cellStyle name="Output 2 7 4 2" xfId="21070"/>
    <cellStyle name="Output 2 7 4 3" xfId="21754"/>
    <cellStyle name="Output 2 7 5" xfId="20596"/>
    <cellStyle name="Output 2 7 5 2" xfId="21069"/>
    <cellStyle name="Output 2 7 5 3" xfId="21755"/>
    <cellStyle name="Output 2 8" xfId="20597"/>
    <cellStyle name="Output 2 8 2" xfId="20598"/>
    <cellStyle name="Output 2 8 2 2" xfId="21068"/>
    <cellStyle name="Output 2 8 2 3" xfId="21756"/>
    <cellStyle name="Output 2 8 3" xfId="20599"/>
    <cellStyle name="Output 2 8 3 2" xfId="21067"/>
    <cellStyle name="Output 2 8 3 3" xfId="21757"/>
    <cellStyle name="Output 2 8 4" xfId="20600"/>
    <cellStyle name="Output 2 8 4 2" xfId="21066"/>
    <cellStyle name="Output 2 8 4 3" xfId="21758"/>
    <cellStyle name="Output 2 8 5" xfId="20601"/>
    <cellStyle name="Output 2 8 5 2" xfId="21065"/>
    <cellStyle name="Output 2 8 5 3" xfId="21759"/>
    <cellStyle name="Output 2 9" xfId="20602"/>
    <cellStyle name="Output 2 9 2" xfId="20603"/>
    <cellStyle name="Output 2 9 2 2" xfId="21064"/>
    <cellStyle name="Output 2 9 2 3" xfId="21760"/>
    <cellStyle name="Output 2 9 3" xfId="20604"/>
    <cellStyle name="Output 2 9 3 2" xfId="21063"/>
    <cellStyle name="Output 2 9 3 3" xfId="21761"/>
    <cellStyle name="Output 2 9 4" xfId="20605"/>
    <cellStyle name="Output 2 9 4 2" xfId="21062"/>
    <cellStyle name="Output 2 9 4 3" xfId="21762"/>
    <cellStyle name="Output 2 9 5" xfId="20606"/>
    <cellStyle name="Output 2 9 5 2" xfId="21061"/>
    <cellStyle name="Output 2 9 5 3" xfId="21763"/>
    <cellStyle name="Output 3" xfId="20607"/>
    <cellStyle name="Output 3 2" xfId="20608"/>
    <cellStyle name="Output 3 2 2" xfId="21059"/>
    <cellStyle name="Output 3 2 3" xfId="21765"/>
    <cellStyle name="Output 3 3" xfId="20609"/>
    <cellStyle name="Output 3 3 2" xfId="21058"/>
    <cellStyle name="Output 3 3 3" xfId="21766"/>
    <cellStyle name="Output 3 4" xfId="21060"/>
    <cellStyle name="Output 3 5" xfId="21764"/>
    <cellStyle name="Output 4" xfId="20610"/>
    <cellStyle name="Output 4 2" xfId="20611"/>
    <cellStyle name="Output 4 2 2" xfId="21056"/>
    <cellStyle name="Output 4 2 3" xfId="21768"/>
    <cellStyle name="Output 4 3" xfId="20612"/>
    <cellStyle name="Output 4 3 2" xfId="21055"/>
    <cellStyle name="Output 4 3 3" xfId="21769"/>
    <cellStyle name="Output 4 4" xfId="21057"/>
    <cellStyle name="Output 4 5" xfId="21767"/>
    <cellStyle name="Output 5" xfId="20613"/>
    <cellStyle name="Output 5 2" xfId="20614"/>
    <cellStyle name="Output 5 2 2" xfId="21053"/>
    <cellStyle name="Output 5 2 3" xfId="21771"/>
    <cellStyle name="Output 5 3" xfId="20615"/>
    <cellStyle name="Output 5 3 2" xfId="21052"/>
    <cellStyle name="Output 5 3 3" xfId="21772"/>
    <cellStyle name="Output 5 4" xfId="21054"/>
    <cellStyle name="Output 5 5" xfId="21770"/>
    <cellStyle name="Output 6" xfId="20616"/>
    <cellStyle name="Output 6 2" xfId="20617"/>
    <cellStyle name="Output 6 2 2" xfId="21050"/>
    <cellStyle name="Output 6 2 3" xfId="21774"/>
    <cellStyle name="Output 6 3" xfId="20618"/>
    <cellStyle name="Output 6 3 2" xfId="21049"/>
    <cellStyle name="Output 6 3 3" xfId="21775"/>
    <cellStyle name="Output 6 4" xfId="21051"/>
    <cellStyle name="Output 6 5" xfId="21773"/>
    <cellStyle name="Output 7" xfId="20619"/>
    <cellStyle name="Output 7 2" xfId="21048"/>
    <cellStyle name="Output 7 3" xfId="21776"/>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Exposure 3" xfId="21777"/>
    <cellStyle name="showParameterE" xfId="20787"/>
    <cellStyle name="showParameterE 2" xfId="21046"/>
    <cellStyle name="showParameterE 3" xfId="21778"/>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2 3" xfId="21780"/>
    <cellStyle name="Total 2 10 3" xfId="20826"/>
    <cellStyle name="Total 2 10 3 2" xfId="21043"/>
    <cellStyle name="Total 2 10 3 3" xfId="21781"/>
    <cellStyle name="Total 2 10 4" xfId="20827"/>
    <cellStyle name="Total 2 10 4 2" xfId="21042"/>
    <cellStyle name="Total 2 10 4 3" xfId="21782"/>
    <cellStyle name="Total 2 10 5" xfId="20828"/>
    <cellStyle name="Total 2 10 5 2" xfId="21041"/>
    <cellStyle name="Total 2 10 5 3" xfId="21783"/>
    <cellStyle name="Total 2 11" xfId="20829"/>
    <cellStyle name="Total 2 11 2" xfId="20830"/>
    <cellStyle name="Total 2 11 2 2" xfId="21039"/>
    <cellStyle name="Total 2 11 2 3" xfId="21785"/>
    <cellStyle name="Total 2 11 3" xfId="20831"/>
    <cellStyle name="Total 2 11 3 2" xfId="21038"/>
    <cellStyle name="Total 2 11 3 3" xfId="21786"/>
    <cellStyle name="Total 2 11 4" xfId="20832"/>
    <cellStyle name="Total 2 11 4 2" xfId="21037"/>
    <cellStyle name="Total 2 11 4 3" xfId="21787"/>
    <cellStyle name="Total 2 11 5" xfId="20833"/>
    <cellStyle name="Total 2 11 5 2" xfId="21036"/>
    <cellStyle name="Total 2 11 5 3" xfId="21788"/>
    <cellStyle name="Total 2 11 6" xfId="21040"/>
    <cellStyle name="Total 2 11 7" xfId="21784"/>
    <cellStyle name="Total 2 12" xfId="20834"/>
    <cellStyle name="Total 2 12 2" xfId="20835"/>
    <cellStyle name="Total 2 12 2 2" xfId="21034"/>
    <cellStyle name="Total 2 12 2 3" xfId="21790"/>
    <cellStyle name="Total 2 12 3" xfId="20836"/>
    <cellStyle name="Total 2 12 3 2" xfId="21033"/>
    <cellStyle name="Total 2 12 3 3" xfId="21791"/>
    <cellStyle name="Total 2 12 4" xfId="20837"/>
    <cellStyle name="Total 2 12 4 2" xfId="21032"/>
    <cellStyle name="Total 2 12 4 3" xfId="21792"/>
    <cellStyle name="Total 2 12 5" xfId="20838"/>
    <cellStyle name="Total 2 12 5 2" xfId="21031"/>
    <cellStyle name="Total 2 12 5 3" xfId="21793"/>
    <cellStyle name="Total 2 12 6" xfId="21035"/>
    <cellStyle name="Total 2 12 7" xfId="21789"/>
    <cellStyle name="Total 2 13" xfId="20839"/>
    <cellStyle name="Total 2 13 2" xfId="20840"/>
    <cellStyle name="Total 2 13 2 2" xfId="21029"/>
    <cellStyle name="Total 2 13 2 3" xfId="21795"/>
    <cellStyle name="Total 2 13 3" xfId="20841"/>
    <cellStyle name="Total 2 13 3 2" xfId="21028"/>
    <cellStyle name="Total 2 13 3 3" xfId="21796"/>
    <cellStyle name="Total 2 13 4" xfId="20842"/>
    <cellStyle name="Total 2 13 4 2" xfId="21027"/>
    <cellStyle name="Total 2 13 4 3" xfId="21797"/>
    <cellStyle name="Total 2 13 5" xfId="21030"/>
    <cellStyle name="Total 2 13 6" xfId="21794"/>
    <cellStyle name="Total 2 14" xfId="20843"/>
    <cellStyle name="Total 2 14 2" xfId="21026"/>
    <cellStyle name="Total 2 14 3" xfId="21798"/>
    <cellStyle name="Total 2 15" xfId="20844"/>
    <cellStyle name="Total 2 15 2" xfId="21025"/>
    <cellStyle name="Total 2 15 3" xfId="21799"/>
    <cellStyle name="Total 2 16" xfId="20845"/>
    <cellStyle name="Total 2 16 2" xfId="21024"/>
    <cellStyle name="Total 2 16 3" xfId="21800"/>
    <cellStyle name="Total 2 17" xfId="21045"/>
    <cellStyle name="Total 2 18" xfId="21779"/>
    <cellStyle name="Total 2 2" xfId="20846"/>
    <cellStyle name="Total 2 2 10" xfId="21023"/>
    <cellStyle name="Total 2 2 11" xfId="21801"/>
    <cellStyle name="Total 2 2 2" xfId="20847"/>
    <cellStyle name="Total 2 2 2 2" xfId="20848"/>
    <cellStyle name="Total 2 2 2 2 2" xfId="21021"/>
    <cellStyle name="Total 2 2 2 2 3" xfId="21803"/>
    <cellStyle name="Total 2 2 2 3" xfId="20849"/>
    <cellStyle name="Total 2 2 2 3 2" xfId="21020"/>
    <cellStyle name="Total 2 2 2 3 3" xfId="21804"/>
    <cellStyle name="Total 2 2 2 4" xfId="20850"/>
    <cellStyle name="Total 2 2 2 4 2" xfId="21019"/>
    <cellStyle name="Total 2 2 2 4 3" xfId="21805"/>
    <cellStyle name="Total 2 2 2 5" xfId="21022"/>
    <cellStyle name="Total 2 2 2 6" xfId="21802"/>
    <cellStyle name="Total 2 2 3" xfId="20851"/>
    <cellStyle name="Total 2 2 3 2" xfId="20852"/>
    <cellStyle name="Total 2 2 3 2 2" xfId="21017"/>
    <cellStyle name="Total 2 2 3 2 3" xfId="21807"/>
    <cellStyle name="Total 2 2 3 3" xfId="20853"/>
    <cellStyle name="Total 2 2 3 3 2" xfId="21016"/>
    <cellStyle name="Total 2 2 3 3 3" xfId="21808"/>
    <cellStyle name="Total 2 2 3 4" xfId="20854"/>
    <cellStyle name="Total 2 2 3 4 2" xfId="21015"/>
    <cellStyle name="Total 2 2 3 4 3" xfId="21809"/>
    <cellStyle name="Total 2 2 3 5" xfId="21018"/>
    <cellStyle name="Total 2 2 3 6" xfId="21806"/>
    <cellStyle name="Total 2 2 4" xfId="20855"/>
    <cellStyle name="Total 2 2 4 2" xfId="20856"/>
    <cellStyle name="Total 2 2 4 2 2" xfId="21013"/>
    <cellStyle name="Total 2 2 4 2 3" xfId="21811"/>
    <cellStyle name="Total 2 2 4 3" xfId="20857"/>
    <cellStyle name="Total 2 2 4 3 2" xfId="21012"/>
    <cellStyle name="Total 2 2 4 3 3" xfId="21812"/>
    <cellStyle name="Total 2 2 4 4" xfId="20858"/>
    <cellStyle name="Total 2 2 4 4 2" xfId="21011"/>
    <cellStyle name="Total 2 2 4 4 3" xfId="21813"/>
    <cellStyle name="Total 2 2 4 5" xfId="21014"/>
    <cellStyle name="Total 2 2 4 6" xfId="21810"/>
    <cellStyle name="Total 2 2 5" xfId="20859"/>
    <cellStyle name="Total 2 2 5 2" xfId="20860"/>
    <cellStyle name="Total 2 2 5 2 2" xfId="21009"/>
    <cellStyle name="Total 2 2 5 2 3" xfId="21815"/>
    <cellStyle name="Total 2 2 5 3" xfId="20861"/>
    <cellStyle name="Total 2 2 5 3 2" xfId="21008"/>
    <cellStyle name="Total 2 2 5 3 3" xfId="21816"/>
    <cellStyle name="Total 2 2 5 4" xfId="20862"/>
    <cellStyle name="Total 2 2 5 4 2" xfId="21007"/>
    <cellStyle name="Total 2 2 5 4 3" xfId="21817"/>
    <cellStyle name="Total 2 2 5 5" xfId="21010"/>
    <cellStyle name="Total 2 2 5 6" xfId="21814"/>
    <cellStyle name="Total 2 2 6" xfId="20863"/>
    <cellStyle name="Total 2 2 6 2" xfId="21006"/>
    <cellStyle name="Total 2 2 6 3" xfId="21818"/>
    <cellStyle name="Total 2 2 7" xfId="20864"/>
    <cellStyle name="Total 2 2 7 2" xfId="21005"/>
    <cellStyle name="Total 2 2 7 3" xfId="21819"/>
    <cellStyle name="Total 2 2 8" xfId="20865"/>
    <cellStyle name="Total 2 2 8 2" xfId="21004"/>
    <cellStyle name="Total 2 2 8 3" xfId="21820"/>
    <cellStyle name="Total 2 2 9" xfId="20866"/>
    <cellStyle name="Total 2 2 9 2" xfId="21003"/>
    <cellStyle name="Total 2 2 9 3" xfId="21821"/>
    <cellStyle name="Total 2 3" xfId="20867"/>
    <cellStyle name="Total 2 3 2" xfId="20868"/>
    <cellStyle name="Total 2 3 2 2" xfId="21002"/>
    <cellStyle name="Total 2 3 2 3" xfId="21822"/>
    <cellStyle name="Total 2 3 3" xfId="20869"/>
    <cellStyle name="Total 2 3 3 2" xfId="21001"/>
    <cellStyle name="Total 2 3 3 3" xfId="21823"/>
    <cellStyle name="Total 2 3 4" xfId="20870"/>
    <cellStyle name="Total 2 3 4 2" xfId="21000"/>
    <cellStyle name="Total 2 3 4 3" xfId="21824"/>
    <cellStyle name="Total 2 3 5" xfId="20871"/>
    <cellStyle name="Total 2 3 5 2" xfId="20999"/>
    <cellStyle name="Total 2 3 5 3" xfId="21825"/>
    <cellStyle name="Total 2 4" xfId="20872"/>
    <cellStyle name="Total 2 4 2" xfId="20873"/>
    <cellStyle name="Total 2 4 2 2" xfId="20998"/>
    <cellStyle name="Total 2 4 2 3" xfId="21826"/>
    <cellStyle name="Total 2 4 3" xfId="20874"/>
    <cellStyle name="Total 2 4 3 2" xfId="20997"/>
    <cellStyle name="Total 2 4 3 3" xfId="21827"/>
    <cellStyle name="Total 2 4 4" xfId="20875"/>
    <cellStyle name="Total 2 4 4 2" xfId="20996"/>
    <cellStyle name="Total 2 4 4 3" xfId="21828"/>
    <cellStyle name="Total 2 4 5" xfId="20876"/>
    <cellStyle name="Total 2 4 5 2" xfId="20995"/>
    <cellStyle name="Total 2 4 5 3" xfId="21829"/>
    <cellStyle name="Total 2 5" xfId="20877"/>
    <cellStyle name="Total 2 5 2" xfId="20878"/>
    <cellStyle name="Total 2 5 2 2" xfId="20994"/>
    <cellStyle name="Total 2 5 2 3" xfId="21830"/>
    <cellStyle name="Total 2 5 3" xfId="20879"/>
    <cellStyle name="Total 2 5 3 2" xfId="20993"/>
    <cellStyle name="Total 2 5 3 3" xfId="21831"/>
    <cellStyle name="Total 2 5 4" xfId="20880"/>
    <cellStyle name="Total 2 5 4 2" xfId="20992"/>
    <cellStyle name="Total 2 5 4 3" xfId="21832"/>
    <cellStyle name="Total 2 5 5" xfId="20881"/>
    <cellStyle name="Total 2 5 5 2" xfId="20991"/>
    <cellStyle name="Total 2 5 5 3" xfId="21833"/>
    <cellStyle name="Total 2 6" xfId="20882"/>
    <cellStyle name="Total 2 6 2" xfId="20883"/>
    <cellStyle name="Total 2 6 2 2" xfId="20990"/>
    <cellStyle name="Total 2 6 2 3" xfId="21834"/>
    <cellStyle name="Total 2 6 3" xfId="20884"/>
    <cellStyle name="Total 2 6 3 2" xfId="20989"/>
    <cellStyle name="Total 2 6 3 3" xfId="21835"/>
    <cellStyle name="Total 2 6 4" xfId="20885"/>
    <cellStyle name="Total 2 6 4 2" xfId="20988"/>
    <cellStyle name="Total 2 6 4 3" xfId="21836"/>
    <cellStyle name="Total 2 6 5" xfId="20886"/>
    <cellStyle name="Total 2 6 5 2" xfId="20987"/>
    <cellStyle name="Total 2 6 5 3" xfId="21837"/>
    <cellStyle name="Total 2 7" xfId="20887"/>
    <cellStyle name="Total 2 7 2" xfId="20888"/>
    <cellStyle name="Total 2 7 2 2" xfId="20986"/>
    <cellStyle name="Total 2 7 2 3" xfId="21838"/>
    <cellStyle name="Total 2 7 3" xfId="20889"/>
    <cellStyle name="Total 2 7 3 2" xfId="20985"/>
    <cellStyle name="Total 2 7 3 3" xfId="21839"/>
    <cellStyle name="Total 2 7 4" xfId="20890"/>
    <cellStyle name="Total 2 7 4 2" xfId="20984"/>
    <cellStyle name="Total 2 7 4 3" xfId="21840"/>
    <cellStyle name="Total 2 7 5" xfId="20891"/>
    <cellStyle name="Total 2 7 5 2" xfId="20983"/>
    <cellStyle name="Total 2 7 5 3" xfId="21841"/>
    <cellStyle name="Total 2 8" xfId="20892"/>
    <cellStyle name="Total 2 8 2" xfId="20893"/>
    <cellStyle name="Total 2 8 2 2" xfId="20982"/>
    <cellStyle name="Total 2 8 2 3" xfId="21842"/>
    <cellStyle name="Total 2 8 3" xfId="20894"/>
    <cellStyle name="Total 2 8 3 2" xfId="20981"/>
    <cellStyle name="Total 2 8 3 3" xfId="21843"/>
    <cellStyle name="Total 2 8 4" xfId="20895"/>
    <cellStyle name="Total 2 8 4 2" xfId="20980"/>
    <cellStyle name="Total 2 8 4 3" xfId="21844"/>
    <cellStyle name="Total 2 8 5" xfId="20896"/>
    <cellStyle name="Total 2 8 5 2" xfId="20979"/>
    <cellStyle name="Total 2 8 5 3" xfId="21845"/>
    <cellStyle name="Total 2 9" xfId="20897"/>
    <cellStyle name="Total 2 9 2" xfId="20898"/>
    <cellStyle name="Total 2 9 2 2" xfId="20978"/>
    <cellStyle name="Total 2 9 2 3" xfId="21846"/>
    <cellStyle name="Total 2 9 3" xfId="20899"/>
    <cellStyle name="Total 2 9 3 2" xfId="20977"/>
    <cellStyle name="Total 2 9 3 3" xfId="21847"/>
    <cellStyle name="Total 2 9 4" xfId="20900"/>
    <cellStyle name="Total 2 9 4 2" xfId="20976"/>
    <cellStyle name="Total 2 9 4 3" xfId="21848"/>
    <cellStyle name="Total 2 9 5" xfId="20901"/>
    <cellStyle name="Total 2 9 5 2" xfId="20975"/>
    <cellStyle name="Total 2 9 5 3" xfId="21849"/>
    <cellStyle name="Total 3" xfId="20902"/>
    <cellStyle name="Total 3 2" xfId="20903"/>
    <cellStyle name="Total 3 2 2" xfId="20973"/>
    <cellStyle name="Total 3 2 3" xfId="21851"/>
    <cellStyle name="Total 3 3" xfId="20904"/>
    <cellStyle name="Total 3 3 2" xfId="20972"/>
    <cellStyle name="Total 3 3 3" xfId="21852"/>
    <cellStyle name="Total 3 4" xfId="20974"/>
    <cellStyle name="Total 3 5" xfId="21850"/>
    <cellStyle name="Total 4" xfId="20905"/>
    <cellStyle name="Total 4 2" xfId="20906"/>
    <cellStyle name="Total 4 2 2" xfId="20970"/>
    <cellStyle name="Total 4 2 3" xfId="21854"/>
    <cellStyle name="Total 4 3" xfId="20907"/>
    <cellStyle name="Total 4 3 2" xfId="20969"/>
    <cellStyle name="Total 4 3 3" xfId="21855"/>
    <cellStyle name="Total 4 4" xfId="20971"/>
    <cellStyle name="Total 4 5" xfId="21853"/>
    <cellStyle name="Total 5" xfId="20908"/>
    <cellStyle name="Total 5 2" xfId="20909"/>
    <cellStyle name="Total 5 2 2" xfId="20967"/>
    <cellStyle name="Total 5 2 3" xfId="21857"/>
    <cellStyle name="Total 5 3" xfId="20910"/>
    <cellStyle name="Total 5 3 2" xfId="20966"/>
    <cellStyle name="Total 5 3 3" xfId="21858"/>
    <cellStyle name="Total 5 4" xfId="20968"/>
    <cellStyle name="Total 5 5" xfId="21856"/>
    <cellStyle name="Total 6" xfId="20911"/>
    <cellStyle name="Total 6 2" xfId="20912"/>
    <cellStyle name="Total 6 2 2" xfId="20964"/>
    <cellStyle name="Total 6 2 3" xfId="21860"/>
    <cellStyle name="Total 6 3" xfId="20913"/>
    <cellStyle name="Total 6 3 2" xfId="20963"/>
    <cellStyle name="Total 6 3 3" xfId="21861"/>
    <cellStyle name="Total 6 4" xfId="20965"/>
    <cellStyle name="Total 6 5" xfId="21859"/>
    <cellStyle name="Total 7" xfId="20914"/>
    <cellStyle name="Total 7 2" xfId="20962"/>
    <cellStyle name="Total 7 3" xfId="218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35"/>
  <sheetViews>
    <sheetView tabSelected="1" zoomScale="85" zoomScaleNormal="85" workbookViewId="0">
      <pane xSplit="1" ySplit="7" topLeftCell="B8" activePane="bottomRight" state="frozen"/>
      <selection pane="topRight" activeCell="B1" sqref="B1"/>
      <selection pane="bottomLeft" activeCell="A8" sqref="A8"/>
      <selection pane="bottomRight" activeCell="D3" sqref="D3"/>
    </sheetView>
  </sheetViews>
  <sheetFormatPr defaultRowHeight="15"/>
  <cols>
    <col min="1" max="1" width="10.28515625" style="2" customWidth="1"/>
    <col min="2" max="2" width="153" bestFit="1" customWidth="1"/>
    <col min="3" max="3" width="39.42578125" customWidth="1"/>
    <col min="4" max="4" width="11.7109375" bestFit="1" customWidth="1"/>
    <col min="6" max="6" width="10.85546875" bestFit="1" customWidth="1"/>
    <col min="7" max="7" width="25" customWidth="1"/>
  </cols>
  <sheetData>
    <row r="1" spans="1:6" ht="15.75">
      <c r="A1" s="9"/>
      <c r="B1" s="130" t="s">
        <v>159</v>
      </c>
      <c r="C1" s="54"/>
    </row>
    <row r="2" spans="1:6" s="127" customFormat="1" ht="15.75">
      <c r="A2" s="168">
        <v>1</v>
      </c>
      <c r="B2" s="128" t="s">
        <v>160</v>
      </c>
      <c r="C2" s="681" t="s">
        <v>960</v>
      </c>
      <c r="D2" s="683">
        <v>45565</v>
      </c>
    </row>
    <row r="3" spans="1:6" s="127" customFormat="1" ht="15.75">
      <c r="A3" s="168">
        <v>2</v>
      </c>
      <c r="B3" s="129" t="s">
        <v>161</v>
      </c>
      <c r="C3" s="681" t="s">
        <v>961</v>
      </c>
      <c r="D3" s="676"/>
    </row>
    <row r="4" spans="1:6" s="127" customFormat="1" ht="15.75">
      <c r="A4" s="168">
        <v>3</v>
      </c>
      <c r="B4" s="129" t="s">
        <v>162</v>
      </c>
      <c r="C4" s="681" t="s">
        <v>962</v>
      </c>
      <c r="D4" s="676"/>
    </row>
    <row r="5" spans="1:6" s="127" customFormat="1" ht="15.75">
      <c r="A5" s="169">
        <v>4</v>
      </c>
      <c r="B5" s="132" t="s">
        <v>163</v>
      </c>
      <c r="C5" s="681" t="s">
        <v>963</v>
      </c>
      <c r="D5" s="676"/>
    </row>
    <row r="6" spans="1:6" s="131" customFormat="1" ht="65.25" customHeight="1">
      <c r="A6" s="805" t="s">
        <v>321</v>
      </c>
      <c r="B6" s="806"/>
      <c r="C6" s="806"/>
    </row>
    <row r="7" spans="1:6">
      <c r="A7" s="270" t="s">
        <v>251</v>
      </c>
      <c r="B7" s="271" t="s">
        <v>164</v>
      </c>
    </row>
    <row r="8" spans="1:6">
      <c r="A8" s="272">
        <v>1</v>
      </c>
      <c r="B8" s="268" t="s">
        <v>139</v>
      </c>
    </row>
    <row r="9" spans="1:6">
      <c r="A9" s="272">
        <v>2</v>
      </c>
      <c r="B9" s="268" t="s">
        <v>165</v>
      </c>
    </row>
    <row r="10" spans="1:6">
      <c r="A10" s="272">
        <v>3</v>
      </c>
      <c r="B10" s="268" t="s">
        <v>166</v>
      </c>
    </row>
    <row r="11" spans="1:6">
      <c r="A11" s="272">
        <v>4</v>
      </c>
      <c r="B11" s="268" t="s">
        <v>167</v>
      </c>
      <c r="C11" s="126"/>
      <c r="F11" s="798"/>
    </row>
    <row r="12" spans="1:6">
      <c r="A12" s="272">
        <v>5</v>
      </c>
      <c r="B12" s="268" t="s">
        <v>107</v>
      </c>
      <c r="F12" s="798"/>
    </row>
    <row r="13" spans="1:6">
      <c r="A13" s="272">
        <v>6</v>
      </c>
      <c r="B13" s="273" t="s">
        <v>91</v>
      </c>
    </row>
    <row r="14" spans="1:6">
      <c r="A14" s="272">
        <v>7</v>
      </c>
      <c r="B14" s="268" t="s">
        <v>168</v>
      </c>
    </row>
    <row r="15" spans="1:6">
      <c r="A15" s="272">
        <v>8</v>
      </c>
      <c r="B15" s="268" t="s">
        <v>171</v>
      </c>
    </row>
    <row r="16" spans="1:6">
      <c r="A16" s="272">
        <v>9</v>
      </c>
      <c r="B16" s="268" t="s">
        <v>85</v>
      </c>
    </row>
    <row r="17" spans="1:2">
      <c r="A17" s="274" t="s">
        <v>378</v>
      </c>
      <c r="B17" s="268" t="s">
        <v>358</v>
      </c>
    </row>
    <row r="18" spans="1:2">
      <c r="A18" s="272">
        <v>10</v>
      </c>
      <c r="B18" s="268" t="s">
        <v>172</v>
      </c>
    </row>
    <row r="19" spans="1:2">
      <c r="A19" s="272">
        <v>11</v>
      </c>
      <c r="B19" s="273" t="s">
        <v>155</v>
      </c>
    </row>
    <row r="20" spans="1:2">
      <c r="A20" s="272">
        <v>12</v>
      </c>
      <c r="B20" s="273" t="s">
        <v>152</v>
      </c>
    </row>
    <row r="21" spans="1:2">
      <c r="A21" s="272">
        <v>13</v>
      </c>
      <c r="B21" s="275" t="s">
        <v>297</v>
      </c>
    </row>
    <row r="22" spans="1:2">
      <c r="A22" s="272">
        <v>14</v>
      </c>
      <c r="B22" s="268" t="s">
        <v>351</v>
      </c>
    </row>
    <row r="23" spans="1:2">
      <c r="A23" s="276">
        <v>15</v>
      </c>
      <c r="B23" s="268" t="s">
        <v>74</v>
      </c>
    </row>
    <row r="24" spans="1:2">
      <c r="A24" s="276">
        <v>15.1</v>
      </c>
      <c r="B24" s="268" t="s">
        <v>387</v>
      </c>
    </row>
    <row r="25" spans="1:2">
      <c r="A25" s="276">
        <v>16</v>
      </c>
      <c r="B25" s="268" t="s">
        <v>453</v>
      </c>
    </row>
    <row r="26" spans="1:2">
      <c r="A26" s="276">
        <v>17</v>
      </c>
      <c r="B26" s="268" t="s">
        <v>677</v>
      </c>
    </row>
    <row r="27" spans="1:2">
      <c r="A27" s="276">
        <v>18</v>
      </c>
      <c r="B27" s="268" t="s">
        <v>939</v>
      </c>
    </row>
    <row r="28" spans="1:2">
      <c r="A28" s="276">
        <v>19</v>
      </c>
      <c r="B28" s="268" t="s">
        <v>940</v>
      </c>
    </row>
    <row r="29" spans="1:2">
      <c r="A29" s="276">
        <v>20</v>
      </c>
      <c r="B29" s="268" t="s">
        <v>941</v>
      </c>
    </row>
    <row r="30" spans="1:2">
      <c r="A30" s="276">
        <v>21</v>
      </c>
      <c r="B30" s="268" t="s">
        <v>546</v>
      </c>
    </row>
    <row r="31" spans="1:2">
      <c r="A31" s="276">
        <v>22</v>
      </c>
      <c r="B31" s="268" t="s">
        <v>942</v>
      </c>
    </row>
    <row r="32" spans="1:2" ht="25.5">
      <c r="A32" s="276">
        <v>23</v>
      </c>
      <c r="B32" s="617" t="s">
        <v>938</v>
      </c>
    </row>
    <row r="33" spans="1:2">
      <c r="A33" s="276">
        <v>24</v>
      </c>
      <c r="B33" s="268" t="s">
        <v>943</v>
      </c>
    </row>
    <row r="34" spans="1:2">
      <c r="A34" s="276">
        <v>25</v>
      </c>
      <c r="B34" s="268" t="s">
        <v>944</v>
      </c>
    </row>
    <row r="35" spans="1:2">
      <c r="A35" s="272">
        <v>26</v>
      </c>
      <c r="B35" s="268" t="s">
        <v>723</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9"/>
  <sheetViews>
    <sheetView zoomScale="85" zoomScaleNormal="85" workbookViewId="0">
      <pane xSplit="1" ySplit="5" topLeftCell="B50" activePane="bottomRight" state="frozen"/>
      <selection activeCell="B2" sqref="B2"/>
      <selection pane="topRight" activeCell="B2" sqref="B2"/>
      <selection pane="bottomLeft" activeCell="B2" sqref="B2"/>
      <selection pane="bottomRight" activeCell="C45" sqref="C45"/>
    </sheetView>
  </sheetViews>
  <sheetFormatPr defaultRowHeight="15"/>
  <cols>
    <col min="1" max="1" width="9.5703125" style="5" bestFit="1" customWidth="1"/>
    <col min="2" max="2" width="132.42578125" style="2" customWidth="1"/>
    <col min="3" max="3" width="18.42578125" style="2" customWidth="1"/>
  </cols>
  <sheetData>
    <row r="1" spans="1:6" ht="15.75">
      <c r="A1" s="17" t="s">
        <v>108</v>
      </c>
      <c r="B1" s="16" t="str">
        <f>Info!C2</f>
        <v>JSC "VTB Bank (Georgia)"</v>
      </c>
      <c r="D1" s="2"/>
      <c r="E1" s="2"/>
      <c r="F1" s="2"/>
    </row>
    <row r="2" spans="1:6" s="21" customFormat="1" ht="15.75" customHeight="1">
      <c r="A2" s="21" t="s">
        <v>109</v>
      </c>
      <c r="B2" s="337">
        <f>Info!D2</f>
        <v>45565</v>
      </c>
    </row>
    <row r="3" spans="1:6" s="21" customFormat="1" ht="15.75" customHeight="1"/>
    <row r="4" spans="1:6" ht="15.75" thickBot="1">
      <c r="A4" s="5" t="s">
        <v>257</v>
      </c>
      <c r="B4" s="30" t="s">
        <v>85</v>
      </c>
    </row>
    <row r="5" spans="1:6">
      <c r="A5" s="87" t="s">
        <v>25</v>
      </c>
      <c r="B5" s="88"/>
      <c r="C5" s="89" t="s">
        <v>26</v>
      </c>
    </row>
    <row r="6" spans="1:6">
      <c r="A6" s="90">
        <v>1</v>
      </c>
      <c r="B6" s="50" t="s">
        <v>27</v>
      </c>
      <c r="C6" s="178">
        <f>SUM(C7:C11)</f>
        <v>274580291.68000001</v>
      </c>
    </row>
    <row r="7" spans="1:6">
      <c r="A7" s="90">
        <v>2</v>
      </c>
      <c r="B7" s="47" t="s">
        <v>28</v>
      </c>
      <c r="C7" s="748">
        <v>209008277</v>
      </c>
    </row>
    <row r="8" spans="1:6">
      <c r="A8" s="90">
        <v>3</v>
      </c>
      <c r="B8" s="41" t="s">
        <v>29</v>
      </c>
      <c r="C8" s="748"/>
    </row>
    <row r="9" spans="1:6">
      <c r="A9" s="90">
        <v>4</v>
      </c>
      <c r="B9" s="41" t="s">
        <v>30</v>
      </c>
      <c r="C9" s="748">
        <v>11667950</v>
      </c>
    </row>
    <row r="10" spans="1:6">
      <c r="A10" s="90">
        <v>5</v>
      </c>
      <c r="B10" s="41" t="s">
        <v>31</v>
      </c>
      <c r="C10" s="748"/>
    </row>
    <row r="11" spans="1:6">
      <c r="A11" s="90">
        <v>6</v>
      </c>
      <c r="B11" s="48" t="s">
        <v>32</v>
      </c>
      <c r="C11" s="748">
        <v>53904064.68</v>
      </c>
    </row>
    <row r="12" spans="1:6" s="4" customFormat="1">
      <c r="A12" s="90">
        <v>7</v>
      </c>
      <c r="B12" s="50" t="s">
        <v>33</v>
      </c>
      <c r="C12" s="749">
        <f>SUM(C13:C28)</f>
        <v>12735717.34</v>
      </c>
    </row>
    <row r="13" spans="1:6" s="4" customFormat="1">
      <c r="A13" s="90">
        <v>8</v>
      </c>
      <c r="B13" s="49" t="s">
        <v>34</v>
      </c>
      <c r="C13" s="750">
        <v>11667950</v>
      </c>
    </row>
    <row r="14" spans="1:6" s="4" customFormat="1" ht="25.5">
      <c r="A14" s="90">
        <v>9</v>
      </c>
      <c r="B14" s="42" t="s">
        <v>35</v>
      </c>
      <c r="C14" s="750"/>
    </row>
    <row r="15" spans="1:6" s="4" customFormat="1">
      <c r="A15" s="90">
        <v>10</v>
      </c>
      <c r="B15" s="43" t="s">
        <v>36</v>
      </c>
      <c r="C15" s="750">
        <v>1067767.3400000001</v>
      </c>
    </row>
    <row r="16" spans="1:6" s="4" customFormat="1">
      <c r="A16" s="90">
        <v>11</v>
      </c>
      <c r="B16" s="44" t="s">
        <v>37</v>
      </c>
      <c r="C16" s="750"/>
    </row>
    <row r="17" spans="1:5" s="4" customFormat="1">
      <c r="A17" s="90">
        <v>12</v>
      </c>
      <c r="B17" s="43" t="s">
        <v>38</v>
      </c>
      <c r="C17" s="750"/>
    </row>
    <row r="18" spans="1:5" s="4" customFormat="1">
      <c r="A18" s="90">
        <v>13</v>
      </c>
      <c r="B18" s="43" t="s">
        <v>39</v>
      </c>
      <c r="C18" s="750"/>
    </row>
    <row r="19" spans="1:5" s="4" customFormat="1">
      <c r="A19" s="90">
        <v>14</v>
      </c>
      <c r="B19" s="43" t="s">
        <v>40</v>
      </c>
      <c r="C19" s="750"/>
    </row>
    <row r="20" spans="1:5" s="4" customFormat="1" ht="25.5">
      <c r="A20" s="90">
        <v>15</v>
      </c>
      <c r="B20" s="43" t="s">
        <v>41</v>
      </c>
      <c r="C20" s="750"/>
    </row>
    <row r="21" spans="1:5" s="4" customFormat="1" ht="25.5">
      <c r="A21" s="90">
        <v>16</v>
      </c>
      <c r="B21" s="42" t="s">
        <v>42</v>
      </c>
      <c r="C21" s="750"/>
    </row>
    <row r="22" spans="1:5" s="4" customFormat="1">
      <c r="A22" s="90">
        <v>17</v>
      </c>
      <c r="B22" s="91" t="s">
        <v>43</v>
      </c>
      <c r="C22" s="750"/>
    </row>
    <row r="23" spans="1:5" s="4" customFormat="1">
      <c r="A23" s="90">
        <v>18</v>
      </c>
      <c r="B23" s="618" t="s">
        <v>726</v>
      </c>
      <c r="C23" s="750"/>
    </row>
    <row r="24" spans="1:5" s="4" customFormat="1" ht="25.5">
      <c r="A24" s="90">
        <v>19</v>
      </c>
      <c r="B24" s="42" t="s">
        <v>44</v>
      </c>
      <c r="C24" s="750"/>
    </row>
    <row r="25" spans="1:5" s="4" customFormat="1" ht="25.5">
      <c r="A25" s="90">
        <v>20</v>
      </c>
      <c r="B25" s="42" t="s">
        <v>45</v>
      </c>
      <c r="C25" s="750"/>
    </row>
    <row r="26" spans="1:5" s="4" customFormat="1" ht="25.5">
      <c r="A26" s="90">
        <v>21</v>
      </c>
      <c r="B26" s="45" t="s">
        <v>46</v>
      </c>
      <c r="C26" s="750"/>
    </row>
    <row r="27" spans="1:5" s="4" customFormat="1">
      <c r="A27" s="90">
        <v>22</v>
      </c>
      <c r="B27" s="45" t="s">
        <v>47</v>
      </c>
      <c r="C27" s="750"/>
    </row>
    <row r="28" spans="1:5" s="4" customFormat="1" ht="25.5">
      <c r="A28" s="90">
        <v>23</v>
      </c>
      <c r="B28" s="45" t="s">
        <v>48</v>
      </c>
      <c r="C28" s="750"/>
    </row>
    <row r="29" spans="1:5" s="4" customFormat="1">
      <c r="A29" s="90">
        <v>24</v>
      </c>
      <c r="B29" s="51" t="s">
        <v>22</v>
      </c>
      <c r="C29" s="749">
        <f>C6-C12</f>
        <v>261844574.34</v>
      </c>
      <c r="E29" s="659">
        <f>C29-'1. key ratios'!C8</f>
        <v>0</v>
      </c>
    </row>
    <row r="30" spans="1:5" s="4" customFormat="1">
      <c r="A30" s="92"/>
      <c r="B30" s="46"/>
      <c r="C30" s="750"/>
    </row>
    <row r="31" spans="1:5" s="4" customFormat="1">
      <c r="A31" s="92">
        <v>25</v>
      </c>
      <c r="B31" s="51" t="s">
        <v>49</v>
      </c>
      <c r="C31" s="749">
        <f>C32+C35</f>
        <v>49978300</v>
      </c>
    </row>
    <row r="32" spans="1:5" s="4" customFormat="1">
      <c r="A32" s="92">
        <v>26</v>
      </c>
      <c r="B32" s="41" t="s">
        <v>50</v>
      </c>
      <c r="C32" s="751">
        <f>C33+C34</f>
        <v>49978300</v>
      </c>
    </row>
    <row r="33" spans="1:3" s="4" customFormat="1">
      <c r="A33" s="92">
        <v>27</v>
      </c>
      <c r="B33" s="124" t="s">
        <v>51</v>
      </c>
      <c r="C33" s="750">
        <v>49978300</v>
      </c>
    </row>
    <row r="34" spans="1:3" s="4" customFormat="1">
      <c r="A34" s="92">
        <v>28</v>
      </c>
      <c r="B34" s="124" t="s">
        <v>52</v>
      </c>
      <c r="C34" s="750"/>
    </row>
    <row r="35" spans="1:3" s="4" customFormat="1">
      <c r="A35" s="92">
        <v>29</v>
      </c>
      <c r="B35" s="41" t="s">
        <v>53</v>
      </c>
      <c r="C35" s="750"/>
    </row>
    <row r="36" spans="1:3" s="4" customFormat="1">
      <c r="A36" s="92">
        <v>30</v>
      </c>
      <c r="B36" s="51" t="s">
        <v>54</v>
      </c>
      <c r="C36" s="749">
        <f>SUM(C37:C41)</f>
        <v>0</v>
      </c>
    </row>
    <row r="37" spans="1:3" s="4" customFormat="1">
      <c r="A37" s="92">
        <v>31</v>
      </c>
      <c r="B37" s="42" t="s">
        <v>55</v>
      </c>
      <c r="C37" s="750"/>
    </row>
    <row r="38" spans="1:3" s="4" customFormat="1">
      <c r="A38" s="92">
        <v>32</v>
      </c>
      <c r="B38" s="43" t="s">
        <v>56</v>
      </c>
      <c r="C38" s="750"/>
    </row>
    <row r="39" spans="1:3" s="4" customFormat="1" ht="25.5">
      <c r="A39" s="92">
        <v>33</v>
      </c>
      <c r="B39" s="42" t="s">
        <v>57</v>
      </c>
      <c r="C39" s="750"/>
    </row>
    <row r="40" spans="1:3" s="4" customFormat="1" ht="25.5">
      <c r="A40" s="92">
        <v>34</v>
      </c>
      <c r="B40" s="42" t="s">
        <v>45</v>
      </c>
      <c r="C40" s="750"/>
    </row>
    <row r="41" spans="1:3" s="4" customFormat="1" ht="25.5">
      <c r="A41" s="92">
        <v>35</v>
      </c>
      <c r="B41" s="45" t="s">
        <v>58</v>
      </c>
      <c r="C41" s="750"/>
    </row>
    <row r="42" spans="1:3" s="4" customFormat="1">
      <c r="A42" s="92">
        <v>36</v>
      </c>
      <c r="B42" s="51" t="s">
        <v>23</v>
      </c>
      <c r="C42" s="749">
        <f>C31-C36</f>
        <v>49978300</v>
      </c>
    </row>
    <row r="43" spans="1:3" s="4" customFormat="1">
      <c r="A43" s="92"/>
      <c r="B43" s="46"/>
      <c r="C43" s="750"/>
    </row>
    <row r="44" spans="1:3" s="4" customFormat="1">
      <c r="A44" s="92">
        <v>37</v>
      </c>
      <c r="B44" s="52" t="s">
        <v>59</v>
      </c>
      <c r="C44" s="749">
        <f>SUM(C45:C47)</f>
        <v>60977087.326759994</v>
      </c>
    </row>
    <row r="45" spans="1:3" s="4" customFormat="1">
      <c r="A45" s="92">
        <v>38</v>
      </c>
      <c r="B45" s="41" t="s">
        <v>60</v>
      </c>
      <c r="C45" s="750">
        <v>60977087.326759994</v>
      </c>
    </row>
    <row r="46" spans="1:3" s="4" customFormat="1">
      <c r="A46" s="92">
        <v>39</v>
      </c>
      <c r="B46" s="41" t="s">
        <v>61</v>
      </c>
      <c r="C46" s="750"/>
    </row>
    <row r="47" spans="1:3" s="4" customFormat="1">
      <c r="A47" s="92">
        <v>40</v>
      </c>
      <c r="B47" s="619" t="s">
        <v>725</v>
      </c>
      <c r="C47" s="750"/>
    </row>
    <row r="48" spans="1:3" s="4" customFormat="1">
      <c r="A48" s="92">
        <v>41</v>
      </c>
      <c r="B48" s="52" t="s">
        <v>62</v>
      </c>
      <c r="C48" s="749">
        <f>SUM(C49:C52)</f>
        <v>0</v>
      </c>
    </row>
    <row r="49" spans="1:3" s="4" customFormat="1">
      <c r="A49" s="92">
        <v>42</v>
      </c>
      <c r="B49" s="42" t="s">
        <v>63</v>
      </c>
      <c r="C49" s="750"/>
    </row>
    <row r="50" spans="1:3" s="4" customFormat="1">
      <c r="A50" s="92">
        <v>43</v>
      </c>
      <c r="B50" s="43" t="s">
        <v>64</v>
      </c>
      <c r="C50" s="750"/>
    </row>
    <row r="51" spans="1:3" s="4" customFormat="1" ht="25.5">
      <c r="A51" s="92">
        <v>44</v>
      </c>
      <c r="B51" s="42" t="s">
        <v>65</v>
      </c>
      <c r="C51" s="750"/>
    </row>
    <row r="52" spans="1:3" s="4" customFormat="1" ht="25.5">
      <c r="A52" s="92">
        <v>45</v>
      </c>
      <c r="B52" s="42" t="s">
        <v>45</v>
      </c>
      <c r="C52" s="750"/>
    </row>
    <row r="53" spans="1:3" s="4" customFormat="1" ht="15.75" thickBot="1">
      <c r="A53" s="92">
        <v>46</v>
      </c>
      <c r="B53" s="93" t="s">
        <v>24</v>
      </c>
      <c r="C53" s="179">
        <f>C44-C48</f>
        <v>60977087.326759994</v>
      </c>
    </row>
    <row r="55" spans="1:3">
      <c r="C55" s="695">
        <f>C29+C31+C44-'1. key ratios'!C10</f>
        <v>0</v>
      </c>
    </row>
    <row r="56" spans="1:3">
      <c r="B56" s="2" t="s">
        <v>141</v>
      </c>
      <c r="C56" s="695"/>
    </row>
    <row r="57" spans="1:3">
      <c r="C57" s="695"/>
    </row>
    <row r="58" spans="1:3">
      <c r="C58" s="695"/>
    </row>
    <row r="59" spans="1:3">
      <c r="C59" s="695"/>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C15" sqref="C15:C17"/>
    </sheetView>
  </sheetViews>
  <sheetFormatPr defaultColWidth="9.28515625" defaultRowHeight="12.75"/>
  <cols>
    <col min="1" max="1" width="10.7109375" style="227" bestFit="1" customWidth="1"/>
    <col min="2" max="2" width="59" style="227" customWidth="1"/>
    <col min="3" max="3" width="16.7109375" style="227" bestFit="1" customWidth="1"/>
    <col min="4" max="4" width="22.28515625" style="227" customWidth="1"/>
    <col min="5" max="5" width="15" style="227" customWidth="1"/>
    <col min="6" max="16384" width="9.28515625" style="227"/>
  </cols>
  <sheetData>
    <row r="1" spans="1:4" ht="15">
      <c r="A1" s="17" t="s">
        <v>108</v>
      </c>
      <c r="B1" s="16" t="str">
        <f>Info!C2</f>
        <v>JSC "VTB Bank (Georgia)"</v>
      </c>
    </row>
    <row r="2" spans="1:4" s="21" customFormat="1" ht="15.75" customHeight="1">
      <c r="A2" s="21" t="s">
        <v>109</v>
      </c>
      <c r="B2" s="337">
        <f>Info!D2</f>
        <v>45565</v>
      </c>
    </row>
    <row r="3" spans="1:4" s="21" customFormat="1" ht="15.75" customHeight="1"/>
    <row r="4" spans="1:4" ht="13.5" thickBot="1">
      <c r="A4" s="228" t="s">
        <v>357</v>
      </c>
      <c r="B4" s="257" t="s">
        <v>358</v>
      </c>
    </row>
    <row r="5" spans="1:4" s="258" customFormat="1">
      <c r="A5" s="837" t="s">
        <v>359</v>
      </c>
      <c r="B5" s="838"/>
      <c r="C5" s="247" t="s">
        <v>360</v>
      </c>
      <c r="D5" s="248" t="s">
        <v>361</v>
      </c>
    </row>
    <row r="6" spans="1:4" s="259" customFormat="1">
      <c r="A6" s="249">
        <v>1</v>
      </c>
      <c r="B6" s="250" t="s">
        <v>362</v>
      </c>
      <c r="C6" s="250"/>
      <c r="D6" s="251"/>
    </row>
    <row r="7" spans="1:4" s="259" customFormat="1">
      <c r="A7" s="252" t="s">
        <v>363</v>
      </c>
      <c r="B7" s="253" t="s">
        <v>364</v>
      </c>
      <c r="C7" s="752">
        <v>4.4999999999999998E-2</v>
      </c>
      <c r="D7" s="658">
        <f>C7*'5. RWA'!$C$13</f>
        <v>26307924.576133702</v>
      </c>
    </row>
    <row r="8" spans="1:4" s="259" customFormat="1">
      <c r="A8" s="252" t="s">
        <v>365</v>
      </c>
      <c r="B8" s="253" t="s">
        <v>366</v>
      </c>
      <c r="C8" s="753">
        <v>0.06</v>
      </c>
      <c r="D8" s="658">
        <f>C8*'5. RWA'!$C$13</f>
        <v>35077232.768178269</v>
      </c>
    </row>
    <row r="9" spans="1:4" s="259" customFormat="1">
      <c r="A9" s="252" t="s">
        <v>367</v>
      </c>
      <c r="B9" s="253" t="s">
        <v>368</v>
      </c>
      <c r="C9" s="753">
        <v>0.08</v>
      </c>
      <c r="D9" s="658">
        <f>C9*'5. RWA'!$C$13</f>
        <v>46769643.690904364</v>
      </c>
    </row>
    <row r="10" spans="1:4" s="259" customFormat="1">
      <c r="A10" s="249" t="s">
        <v>369</v>
      </c>
      <c r="B10" s="250" t="s">
        <v>370</v>
      </c>
      <c r="C10" s="754"/>
      <c r="D10" s="657"/>
    </row>
    <row r="11" spans="1:4" s="260" customFormat="1">
      <c r="A11" s="254" t="s">
        <v>371</v>
      </c>
      <c r="B11" s="255" t="s">
        <v>433</v>
      </c>
      <c r="C11" s="706">
        <v>2.5000000000000001E-2</v>
      </c>
      <c r="D11" s="656">
        <f>C11*'5. RWA'!$C$13</f>
        <v>14615513.653407613</v>
      </c>
    </row>
    <row r="12" spans="1:4" s="260" customFormat="1">
      <c r="A12" s="254" t="s">
        <v>372</v>
      </c>
      <c r="B12" s="255" t="s">
        <v>373</v>
      </c>
      <c r="C12" s="706">
        <v>2.5000000000000001E-3</v>
      </c>
      <c r="D12" s="656">
        <f>C12*'5. RWA'!$C$13</f>
        <v>1461551.3653407614</v>
      </c>
    </row>
    <row r="13" spans="1:4" s="260" customFormat="1">
      <c r="A13" s="254" t="s">
        <v>374</v>
      </c>
      <c r="B13" s="255" t="s">
        <v>375</v>
      </c>
      <c r="C13" s="706"/>
      <c r="D13" s="656">
        <f>C13*'5. RWA'!$C$13</f>
        <v>0</v>
      </c>
    </row>
    <row r="14" spans="1:4" s="259" customFormat="1">
      <c r="A14" s="249" t="s">
        <v>376</v>
      </c>
      <c r="B14" s="250" t="s">
        <v>431</v>
      </c>
      <c r="C14" s="755"/>
      <c r="D14" s="657"/>
    </row>
    <row r="15" spans="1:4" s="259" customFormat="1">
      <c r="A15" s="269" t="s">
        <v>379</v>
      </c>
      <c r="B15" s="255" t="s">
        <v>432</v>
      </c>
      <c r="C15" s="706">
        <v>0.14367368745617445</v>
      </c>
      <c r="D15" s="656">
        <f>C15*'5. RWA'!$C$13</f>
        <v>83994589.626045436</v>
      </c>
    </row>
    <row r="16" spans="1:4" s="259" customFormat="1">
      <c r="A16" s="269" t="s">
        <v>380</v>
      </c>
      <c r="B16" s="255" t="s">
        <v>382</v>
      </c>
      <c r="C16" s="706">
        <v>0.15840106313242822</v>
      </c>
      <c r="D16" s="656">
        <f>C16*'5. RWA'!$C$13</f>
        <v>92604516.037051424</v>
      </c>
    </row>
    <row r="17" spans="1:6" s="259" customFormat="1">
      <c r="A17" s="269" t="s">
        <v>381</v>
      </c>
      <c r="B17" s="255" t="s">
        <v>429</v>
      </c>
      <c r="C17" s="706">
        <v>0.17777918902223577</v>
      </c>
      <c r="D17" s="656">
        <f>C17*'5. RWA'!$C$13</f>
        <v>103933366.57784879</v>
      </c>
    </row>
    <row r="18" spans="1:6" s="258" customFormat="1">
      <c r="A18" s="839" t="s">
        <v>430</v>
      </c>
      <c r="B18" s="840"/>
      <c r="C18" s="304" t="s">
        <v>360</v>
      </c>
      <c r="D18" s="655" t="s">
        <v>361</v>
      </c>
    </row>
    <row r="19" spans="1:6" s="259" customFormat="1">
      <c r="A19" s="256">
        <v>4</v>
      </c>
      <c r="B19" s="255" t="s">
        <v>22</v>
      </c>
      <c r="C19" s="303">
        <f>C7+C11+C12+C13+C15</f>
        <v>0.21617368745617446</v>
      </c>
      <c r="D19" s="658">
        <f>C19*'5. RWA'!$C$13</f>
        <v>126379579.22092751</v>
      </c>
      <c r="E19" s="707">
        <f>D19-'1. key ratios'!C11</f>
        <v>0</v>
      </c>
    </row>
    <row r="20" spans="1:6" s="259" customFormat="1">
      <c r="A20" s="256">
        <v>5</v>
      </c>
      <c r="B20" s="255" t="s">
        <v>86</v>
      </c>
      <c r="C20" s="303">
        <f>C8+C11+C12+C13+C16</f>
        <v>0.24590106313242821</v>
      </c>
      <c r="D20" s="658">
        <f>C20*'5. RWA'!$C$13</f>
        <v>143758813.82397807</v>
      </c>
      <c r="E20" s="707">
        <f>D20-'1. key ratios'!C12</f>
        <v>0</v>
      </c>
    </row>
    <row r="21" spans="1:6" s="259" customFormat="1" ht="13.5" thickBot="1">
      <c r="A21" s="261" t="s">
        <v>377</v>
      </c>
      <c r="B21" s="262" t="s">
        <v>85</v>
      </c>
      <c r="C21" s="305">
        <f>C9+C11+C12+C13+C17</f>
        <v>0.28527918902223581</v>
      </c>
      <c r="D21" s="654">
        <f>C21*'5. RWA'!$C$13</f>
        <v>166780075.28750154</v>
      </c>
      <c r="E21" s="707">
        <f>D21-'1. key ratios'!C13</f>
        <v>0</v>
      </c>
    </row>
    <row r="22" spans="1:6">
      <c r="F22" s="228"/>
    </row>
    <row r="23" spans="1:6" ht="63.75">
      <c r="B23" s="23" t="s">
        <v>434</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9"/>
  <sheetViews>
    <sheetView zoomScale="80" zoomScaleNormal="80" workbookViewId="0">
      <pane xSplit="1" ySplit="5" topLeftCell="B48" activePane="bottomRight" state="frozen"/>
      <selection activeCell="B2" sqref="B2"/>
      <selection pane="topRight" activeCell="B2" sqref="B2"/>
      <selection pane="bottomLeft" activeCell="B2" sqref="B2"/>
      <selection pane="bottomRight" activeCell="C60" sqref="C60"/>
    </sheetView>
  </sheetViews>
  <sheetFormatPr defaultRowHeight="15.75"/>
  <cols>
    <col min="1" max="1" width="10.7109375" style="38" customWidth="1"/>
    <col min="2" max="2" width="91.7109375" style="38" customWidth="1"/>
    <col min="3" max="3" width="53.28515625" style="650" customWidth="1"/>
    <col min="4" max="4" width="32.28515625" style="38" customWidth="1"/>
    <col min="5" max="5" width="9.42578125" customWidth="1"/>
  </cols>
  <sheetData>
    <row r="1" spans="1:6">
      <c r="A1" s="17" t="s">
        <v>108</v>
      </c>
      <c r="B1" s="19" t="str">
        <f>Info!C2</f>
        <v>JSC "VTB Bank (Georgia)"</v>
      </c>
      <c r="E1" s="2"/>
      <c r="F1" s="2"/>
    </row>
    <row r="2" spans="1:6" s="21" customFormat="1" ht="15.75" customHeight="1">
      <c r="A2" s="21" t="s">
        <v>109</v>
      </c>
      <c r="B2" s="337">
        <f>Info!D2</f>
        <v>45565</v>
      </c>
      <c r="C2" s="649"/>
    </row>
    <row r="3" spans="1:6" s="21" customFormat="1" ht="15.75" customHeight="1">
      <c r="A3" s="26"/>
      <c r="C3" s="649"/>
    </row>
    <row r="4" spans="1:6" s="21" customFormat="1" ht="15.75" customHeight="1" thickBot="1">
      <c r="A4" s="21" t="s">
        <v>258</v>
      </c>
      <c r="B4" s="147" t="s">
        <v>172</v>
      </c>
      <c r="C4" s="649"/>
      <c r="D4" s="149" t="s">
        <v>87</v>
      </c>
    </row>
    <row r="5" spans="1:6" ht="25.5">
      <c r="A5" s="99" t="s">
        <v>25</v>
      </c>
      <c r="B5" s="100" t="s">
        <v>144</v>
      </c>
      <c r="C5" s="648" t="s">
        <v>858</v>
      </c>
      <c r="D5" s="148" t="s">
        <v>173</v>
      </c>
    </row>
    <row r="6" spans="1:6">
      <c r="A6" s="446">
        <v>1</v>
      </c>
      <c r="B6" s="403" t="s">
        <v>843</v>
      </c>
      <c r="C6" s="647">
        <f>SUM(C7:C9)</f>
        <v>173936192.8351</v>
      </c>
      <c r="D6" s="94"/>
      <c r="E6" s="7"/>
    </row>
    <row r="7" spans="1:6">
      <c r="A7" s="446">
        <v>1.1000000000000001</v>
      </c>
      <c r="B7" s="404" t="s">
        <v>96</v>
      </c>
      <c r="C7" s="646">
        <v>166906935.21919999</v>
      </c>
      <c r="D7" s="95"/>
      <c r="E7" s="7"/>
    </row>
    <row r="8" spans="1:6">
      <c r="A8" s="446">
        <v>1.2</v>
      </c>
      <c r="B8" s="404" t="s">
        <v>97</v>
      </c>
      <c r="C8" s="646">
        <v>351.36</v>
      </c>
      <c r="D8" s="95"/>
      <c r="E8" s="7"/>
    </row>
    <row r="9" spans="1:6">
      <c r="A9" s="446">
        <v>1.3</v>
      </c>
      <c r="B9" s="404" t="s">
        <v>98</v>
      </c>
      <c r="C9" s="646">
        <v>7028906.2559000002</v>
      </c>
      <c r="D9" s="95"/>
      <c r="E9" s="7"/>
    </row>
    <row r="10" spans="1:6">
      <c r="A10" s="446">
        <v>2</v>
      </c>
      <c r="B10" s="405" t="s">
        <v>730</v>
      </c>
      <c r="C10" s="645"/>
      <c r="D10" s="95"/>
      <c r="E10" s="7"/>
    </row>
    <row r="11" spans="1:6">
      <c r="A11" s="446">
        <v>2.1</v>
      </c>
      <c r="B11" s="406" t="s">
        <v>731</v>
      </c>
      <c r="C11" s="644"/>
      <c r="D11" s="96"/>
      <c r="E11" s="8"/>
    </row>
    <row r="12" spans="1:6" ht="23.85" customHeight="1">
      <c r="A12" s="446">
        <v>3</v>
      </c>
      <c r="B12" s="407" t="s">
        <v>732</v>
      </c>
      <c r="C12" s="643"/>
      <c r="D12" s="96"/>
      <c r="E12" s="8"/>
    </row>
    <row r="13" spans="1:6" ht="23.1" customHeight="1">
      <c r="A13" s="446">
        <v>4</v>
      </c>
      <c r="B13" s="408" t="s">
        <v>733</v>
      </c>
      <c r="C13" s="643"/>
      <c r="D13" s="96"/>
      <c r="E13" s="8"/>
    </row>
    <row r="14" spans="1:6">
      <c r="A14" s="446">
        <v>5</v>
      </c>
      <c r="B14" s="408" t="s">
        <v>734</v>
      </c>
      <c r="C14" s="643">
        <f>SUM(C15:C17)</f>
        <v>0</v>
      </c>
      <c r="D14" s="96"/>
      <c r="E14" s="8"/>
    </row>
    <row r="15" spans="1:6">
      <c r="A15" s="446">
        <v>5.0999999999999996</v>
      </c>
      <c r="B15" s="409" t="s">
        <v>735</v>
      </c>
      <c r="C15" s="642"/>
      <c r="D15" s="96"/>
      <c r="E15" s="7"/>
    </row>
    <row r="16" spans="1:6">
      <c r="A16" s="446">
        <v>5.2</v>
      </c>
      <c r="B16" s="409" t="s">
        <v>569</v>
      </c>
      <c r="C16" s="646"/>
      <c r="D16" s="95"/>
      <c r="E16" s="7"/>
    </row>
    <row r="17" spans="1:5">
      <c r="A17" s="446">
        <v>5.3</v>
      </c>
      <c r="B17" s="409" t="s">
        <v>736</v>
      </c>
      <c r="C17" s="646"/>
      <c r="D17" s="95"/>
      <c r="E17" s="7"/>
    </row>
    <row r="18" spans="1:5">
      <c r="A18" s="446">
        <v>6</v>
      </c>
      <c r="B18" s="407" t="s">
        <v>737</v>
      </c>
      <c r="C18" s="645">
        <f>SUM(C19:C20)</f>
        <v>180313674.45630395</v>
      </c>
      <c r="D18" s="95"/>
      <c r="E18" s="7"/>
    </row>
    <row r="19" spans="1:5">
      <c r="A19" s="446">
        <v>6.1</v>
      </c>
      <c r="B19" s="409" t="s">
        <v>569</v>
      </c>
      <c r="C19" s="644"/>
      <c r="D19" s="95"/>
      <c r="E19" s="7"/>
    </row>
    <row r="20" spans="1:5">
      <c r="A20" s="446">
        <v>6.2</v>
      </c>
      <c r="B20" s="409" t="s">
        <v>736</v>
      </c>
      <c r="C20" s="644">
        <v>180313674.45630395</v>
      </c>
      <c r="D20" s="95"/>
      <c r="E20" s="7"/>
    </row>
    <row r="21" spans="1:5">
      <c r="A21" s="446">
        <v>7</v>
      </c>
      <c r="B21" s="410" t="s">
        <v>738</v>
      </c>
      <c r="C21" s="643">
        <f>'2. SOFP'!E22</f>
        <v>54000</v>
      </c>
      <c r="D21" s="95"/>
      <c r="E21" s="7"/>
    </row>
    <row r="22" spans="1:5">
      <c r="A22" s="446">
        <v>8</v>
      </c>
      <c r="B22" s="411" t="s">
        <v>739</v>
      </c>
      <c r="C22" s="645"/>
      <c r="D22" s="95"/>
      <c r="E22" s="7"/>
    </row>
    <row r="23" spans="1:5">
      <c r="A23" s="446">
        <v>9</v>
      </c>
      <c r="B23" s="408" t="s">
        <v>740</v>
      </c>
      <c r="C23" s="645">
        <f>SUM(C24:C25)</f>
        <v>61688377.610000014</v>
      </c>
      <c r="D23" s="473"/>
      <c r="E23" s="7"/>
    </row>
    <row r="24" spans="1:5">
      <c r="A24" s="446">
        <v>9.1</v>
      </c>
      <c r="B24" s="412" t="s">
        <v>741</v>
      </c>
      <c r="C24" s="641">
        <f>'7. LI1'!C26</f>
        <v>33613388.479999997</v>
      </c>
      <c r="D24" s="97"/>
      <c r="E24" s="7"/>
    </row>
    <row r="25" spans="1:5">
      <c r="A25" s="446">
        <v>9.1999999999999993</v>
      </c>
      <c r="B25" s="412" t="s">
        <v>742</v>
      </c>
      <c r="C25" s="641">
        <f>'7. LI1'!C27</f>
        <v>28074989.130000018</v>
      </c>
      <c r="D25" s="472"/>
      <c r="E25" s="6"/>
    </row>
    <row r="26" spans="1:5">
      <c r="A26" s="446">
        <v>10</v>
      </c>
      <c r="B26" s="408" t="s">
        <v>36</v>
      </c>
      <c r="C26" s="640">
        <f>SUM(C27:C28)</f>
        <v>1067767.3400000001</v>
      </c>
      <c r="D26" s="614" t="s">
        <v>935</v>
      </c>
      <c r="E26" s="7"/>
    </row>
    <row r="27" spans="1:5">
      <c r="A27" s="446">
        <v>10.1</v>
      </c>
      <c r="B27" s="412" t="s">
        <v>743</v>
      </c>
      <c r="C27" s="646">
        <f>'7. LI1'!C29</f>
        <v>0</v>
      </c>
      <c r="D27" s="95"/>
      <c r="E27" s="7"/>
    </row>
    <row r="28" spans="1:5">
      <c r="A28" s="446">
        <v>10.199999999999999</v>
      </c>
      <c r="B28" s="412" t="s">
        <v>744</v>
      </c>
      <c r="C28" s="646">
        <f>'7. LI1'!C30</f>
        <v>1067767.3400000001</v>
      </c>
      <c r="D28" s="95"/>
      <c r="E28" s="7"/>
    </row>
    <row r="29" spans="1:5">
      <c r="A29" s="446">
        <v>11</v>
      </c>
      <c r="B29" s="408" t="s">
        <v>745</v>
      </c>
      <c r="C29" s="645">
        <f>SUM(C30:C31)</f>
        <v>958167.91</v>
      </c>
      <c r="D29" s="95"/>
      <c r="E29" s="7"/>
    </row>
    <row r="30" spans="1:5">
      <c r="A30" s="446">
        <v>11.1</v>
      </c>
      <c r="B30" s="412" t="s">
        <v>746</v>
      </c>
      <c r="C30" s="646">
        <f>'7. LI1'!C32</f>
        <v>958167.91</v>
      </c>
      <c r="D30" s="95"/>
      <c r="E30" s="7"/>
    </row>
    <row r="31" spans="1:5">
      <c r="A31" s="446">
        <v>11.2</v>
      </c>
      <c r="B31" s="412" t="s">
        <v>747</v>
      </c>
      <c r="C31" s="646">
        <f>'7. LI1'!C33</f>
        <v>0</v>
      </c>
      <c r="D31" s="95"/>
      <c r="E31" s="7"/>
    </row>
    <row r="32" spans="1:5">
      <c r="A32" s="446">
        <v>13</v>
      </c>
      <c r="B32" s="408" t="s">
        <v>99</v>
      </c>
      <c r="C32" s="645">
        <f>'2. SOFP'!E33</f>
        <v>40263947.476000011</v>
      </c>
      <c r="D32" s="95"/>
      <c r="E32" s="7"/>
    </row>
    <row r="33" spans="1:5">
      <c r="A33" s="446">
        <v>13.1</v>
      </c>
      <c r="B33" s="413" t="s">
        <v>748</v>
      </c>
      <c r="C33" s="646">
        <f>'2. SOFP'!E34</f>
        <v>22019563</v>
      </c>
      <c r="D33" s="95"/>
      <c r="E33" s="7"/>
    </row>
    <row r="34" spans="1:5">
      <c r="A34" s="446">
        <v>13.2</v>
      </c>
      <c r="B34" s="413" t="s">
        <v>749</v>
      </c>
      <c r="C34" s="641"/>
      <c r="D34" s="97"/>
      <c r="E34" s="7"/>
    </row>
    <row r="35" spans="1:5">
      <c r="A35" s="446">
        <v>14</v>
      </c>
      <c r="B35" s="414" t="s">
        <v>750</v>
      </c>
      <c r="C35" s="639">
        <f>SUM(C6,C10,C12,C13,C14,C18,C21,C22,C23,C26,C29,C32)</f>
        <v>458282127.62740397</v>
      </c>
      <c r="D35" s="97"/>
      <c r="E35" s="7"/>
    </row>
    <row r="36" spans="1:5">
      <c r="A36" s="446"/>
      <c r="B36" s="415" t="s">
        <v>104</v>
      </c>
      <c r="C36" s="638"/>
      <c r="D36" s="98"/>
      <c r="E36" s="7"/>
    </row>
    <row r="37" spans="1:5">
      <c r="A37" s="446">
        <v>15</v>
      </c>
      <c r="B37" s="416" t="s">
        <v>751</v>
      </c>
      <c r="C37" s="637"/>
      <c r="D37" s="472"/>
      <c r="E37" s="6"/>
    </row>
    <row r="38" spans="1:5">
      <c r="A38" s="446">
        <v>15.1</v>
      </c>
      <c r="B38" s="417" t="s">
        <v>731</v>
      </c>
      <c r="C38" s="646"/>
      <c r="D38" s="95"/>
      <c r="E38" s="7"/>
    </row>
    <row r="39" spans="1:5" ht="21">
      <c r="A39" s="446">
        <v>16</v>
      </c>
      <c r="B39" s="410" t="s">
        <v>752</v>
      </c>
      <c r="C39" s="645"/>
      <c r="D39" s="95"/>
      <c r="E39" s="7"/>
    </row>
    <row r="40" spans="1:5">
      <c r="A40" s="446">
        <v>17</v>
      </c>
      <c r="B40" s="410" t="s">
        <v>753</v>
      </c>
      <c r="C40" s="645">
        <f>SUM(C41:C44)</f>
        <v>14539832.6263</v>
      </c>
      <c r="D40" s="95"/>
      <c r="E40" s="7"/>
    </row>
    <row r="41" spans="1:5">
      <c r="A41" s="446">
        <v>17.100000000000001</v>
      </c>
      <c r="B41" s="418" t="s">
        <v>754</v>
      </c>
      <c r="C41" s="646">
        <v>14539832.6263</v>
      </c>
      <c r="D41" s="95"/>
      <c r="E41" s="7"/>
    </row>
    <row r="42" spans="1:5">
      <c r="A42" s="461">
        <v>17.2</v>
      </c>
      <c r="B42" s="462" t="s">
        <v>100</v>
      </c>
      <c r="C42" s="641"/>
      <c r="D42" s="97"/>
      <c r="E42" s="7"/>
    </row>
    <row r="43" spans="1:5">
      <c r="A43" s="446">
        <v>17.3</v>
      </c>
      <c r="B43" s="463" t="s">
        <v>755</v>
      </c>
      <c r="C43" s="651"/>
      <c r="D43" s="464"/>
      <c r="E43" s="7"/>
    </row>
    <row r="44" spans="1:5">
      <c r="A44" s="446">
        <v>17.399999999999999</v>
      </c>
      <c r="B44" s="463" t="s">
        <v>756</v>
      </c>
      <c r="C44" s="651"/>
      <c r="D44" s="464"/>
      <c r="E44" s="7"/>
    </row>
    <row r="45" spans="1:5">
      <c r="A45" s="446">
        <v>18</v>
      </c>
      <c r="B45" s="465" t="s">
        <v>757</v>
      </c>
      <c r="C45" s="636"/>
      <c r="D45" s="471"/>
      <c r="E45" s="6"/>
    </row>
    <row r="46" spans="1:5">
      <c r="A46" s="446">
        <v>19</v>
      </c>
      <c r="B46" s="465" t="s">
        <v>758</v>
      </c>
      <c r="C46" s="653">
        <f>SUM(C47:C48)</f>
        <v>0</v>
      </c>
      <c r="D46" s="466"/>
    </row>
    <row r="47" spans="1:5">
      <c r="A47" s="446">
        <v>19.100000000000001</v>
      </c>
      <c r="B47" s="467" t="s">
        <v>759</v>
      </c>
      <c r="C47" s="651"/>
      <c r="D47" s="466"/>
    </row>
    <row r="48" spans="1:5">
      <c r="A48" s="446">
        <v>19.2</v>
      </c>
      <c r="B48" s="467" t="s">
        <v>760</v>
      </c>
      <c r="C48" s="651"/>
      <c r="D48" s="466"/>
    </row>
    <row r="49" spans="1:4">
      <c r="A49" s="446">
        <v>20</v>
      </c>
      <c r="B49" s="423" t="s">
        <v>101</v>
      </c>
      <c r="C49" s="652">
        <v>100375447.6059</v>
      </c>
      <c r="D49" s="466"/>
    </row>
    <row r="50" spans="1:4">
      <c r="A50" s="446">
        <v>21</v>
      </c>
      <c r="B50" s="424" t="s">
        <v>89</v>
      </c>
      <c r="C50" s="652">
        <v>18808256.118399993</v>
      </c>
      <c r="D50" s="466"/>
    </row>
    <row r="51" spans="1:4">
      <c r="A51" s="446">
        <v>21.1</v>
      </c>
      <c r="B51" s="419" t="s">
        <v>761</v>
      </c>
      <c r="C51" s="651">
        <f>'2. SOFP'!E52</f>
        <v>1060412.6299999999</v>
      </c>
      <c r="D51" s="466"/>
    </row>
    <row r="52" spans="1:4">
      <c r="A52" s="446">
        <v>22</v>
      </c>
      <c r="B52" s="423" t="s">
        <v>762</v>
      </c>
      <c r="C52" s="652">
        <f>SUM(C37,C39,C40,C45,C46,C49,C50)</f>
        <v>133723536.35059999</v>
      </c>
      <c r="D52" s="466"/>
    </row>
    <row r="53" spans="1:4">
      <c r="A53" s="446"/>
      <c r="B53" s="425" t="s">
        <v>763</v>
      </c>
      <c r="C53" s="651"/>
      <c r="D53" s="466"/>
    </row>
    <row r="54" spans="1:4">
      <c r="A54" s="446">
        <v>23</v>
      </c>
      <c r="B54" s="423" t="s">
        <v>105</v>
      </c>
      <c r="C54" s="652">
        <v>209008277</v>
      </c>
      <c r="D54" s="466"/>
    </row>
    <row r="55" spans="1:4">
      <c r="A55" s="446">
        <v>24</v>
      </c>
      <c r="B55" s="423" t="s">
        <v>764</v>
      </c>
      <c r="C55" s="652">
        <v>0</v>
      </c>
      <c r="D55" s="466"/>
    </row>
    <row r="56" spans="1:4">
      <c r="A56" s="446">
        <v>25</v>
      </c>
      <c r="B56" s="426" t="s">
        <v>102</v>
      </c>
      <c r="C56" s="652"/>
      <c r="D56" s="466"/>
    </row>
    <row r="57" spans="1:4">
      <c r="A57" s="446">
        <v>26</v>
      </c>
      <c r="B57" s="465" t="s">
        <v>765</v>
      </c>
      <c r="C57" s="652"/>
      <c r="D57" s="466"/>
    </row>
    <row r="58" spans="1:4">
      <c r="A58" s="446">
        <v>27</v>
      </c>
      <c r="B58" s="465" t="s">
        <v>766</v>
      </c>
      <c r="C58" s="652">
        <f>SUM(C59:C60)</f>
        <v>49978300</v>
      </c>
      <c r="D58" s="466"/>
    </row>
    <row r="59" spans="1:4">
      <c r="A59" s="446">
        <v>27.1</v>
      </c>
      <c r="B59" s="468" t="s">
        <v>767</v>
      </c>
      <c r="C59" s="651"/>
      <c r="D59" s="466"/>
    </row>
    <row r="60" spans="1:4">
      <c r="A60" s="446">
        <v>27.2</v>
      </c>
      <c r="B60" s="463" t="s">
        <v>768</v>
      </c>
      <c r="C60" s="651">
        <v>49978300</v>
      </c>
      <c r="D60" s="466"/>
    </row>
    <row r="61" spans="1:4">
      <c r="A61" s="446">
        <v>28</v>
      </c>
      <c r="B61" s="424" t="s">
        <v>769</v>
      </c>
      <c r="C61" s="652"/>
      <c r="D61" s="466"/>
    </row>
    <row r="62" spans="1:4">
      <c r="A62" s="446">
        <v>29</v>
      </c>
      <c r="B62" s="465" t="s">
        <v>770</v>
      </c>
      <c r="C62" s="652">
        <f>SUM(C63:C65)</f>
        <v>11667950</v>
      </c>
      <c r="D62" s="466"/>
    </row>
    <row r="63" spans="1:4">
      <c r="A63" s="446">
        <v>29.1</v>
      </c>
      <c r="B63" s="469" t="s">
        <v>771</v>
      </c>
      <c r="C63" s="651">
        <v>11667950</v>
      </c>
      <c r="D63" s="466"/>
    </row>
    <row r="64" spans="1:4" ht="24" customHeight="1">
      <c r="A64" s="446">
        <v>29.2</v>
      </c>
      <c r="B64" s="468" t="s">
        <v>772</v>
      </c>
      <c r="C64" s="651"/>
      <c r="D64" s="466"/>
    </row>
    <row r="65" spans="1:4" ht="22.35" customHeight="1">
      <c r="A65" s="446">
        <v>29.3</v>
      </c>
      <c r="B65" s="470" t="s">
        <v>773</v>
      </c>
      <c r="C65" s="651"/>
      <c r="D65" s="466"/>
    </row>
    <row r="66" spans="1:4">
      <c r="A66" s="446">
        <v>30</v>
      </c>
      <c r="B66" s="429" t="s">
        <v>103</v>
      </c>
      <c r="C66" s="652">
        <v>53904064.68</v>
      </c>
      <c r="D66" s="466"/>
    </row>
    <row r="67" spans="1:4">
      <c r="A67" s="446">
        <v>31</v>
      </c>
      <c r="B67" s="428" t="s">
        <v>774</v>
      </c>
      <c r="C67" s="652">
        <f>SUM(C54,C55,C56,C57,C58,C61,C62,C66)</f>
        <v>324558591.68000001</v>
      </c>
      <c r="D67" s="466"/>
    </row>
    <row r="68" spans="1:4">
      <c r="A68" s="446">
        <v>32</v>
      </c>
      <c r="B68" s="429" t="s">
        <v>775</v>
      </c>
      <c r="C68" s="652">
        <f>SUM(C52,C67)</f>
        <v>458282128.03060001</v>
      </c>
      <c r="D68" s="466"/>
    </row>
    <row r="69" spans="1:4">
      <c r="C69" s="650">
        <f>C68-C35</f>
        <v>0.40319603681564331</v>
      </c>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50" zoomScaleNormal="50" workbookViewId="0">
      <pane xSplit="2" ySplit="7" topLeftCell="C8" activePane="bottomRight" state="frozen"/>
      <selection activeCell="B2" sqref="B2"/>
      <selection pane="topRight" activeCell="B2" sqref="B2"/>
      <selection pane="bottomLeft" activeCell="B2" sqref="B2"/>
      <selection pane="bottomRight" activeCell="C8" sqref="C8:R21"/>
    </sheetView>
  </sheetViews>
  <sheetFormatPr defaultColWidth="9.28515625" defaultRowHeight="12.75"/>
  <cols>
    <col min="1" max="1" width="10.5703125" style="2" bestFit="1" customWidth="1"/>
    <col min="2" max="2" width="97" style="2" bestFit="1" customWidth="1"/>
    <col min="3" max="3" width="16" style="2" bestFit="1" customWidth="1"/>
    <col min="4" max="4" width="13.28515625" style="2" bestFit="1" customWidth="1"/>
    <col min="5" max="5" width="14" style="2" bestFit="1" customWidth="1"/>
    <col min="6" max="6" width="13.28515625" style="2" bestFit="1" customWidth="1"/>
    <col min="7" max="7" width="13.7109375" style="2" bestFit="1" customWidth="1"/>
    <col min="8" max="8" width="13.28515625" style="2" bestFit="1" customWidth="1"/>
    <col min="9" max="9" width="14" style="2" bestFit="1" customWidth="1"/>
    <col min="10" max="10" width="13.28515625" style="2" bestFit="1" customWidth="1"/>
    <col min="11" max="11" width="9.5703125" style="2" bestFit="1" customWidth="1"/>
    <col min="12" max="12" width="13.28515625" style="2" bestFit="1" customWidth="1"/>
    <col min="13" max="13" width="16" style="2" bestFit="1" customWidth="1"/>
    <col min="14" max="14" width="13.28515625" style="2" bestFit="1" customWidth="1"/>
    <col min="15" max="15" width="14.85546875" style="2" bestFit="1" customWidth="1"/>
    <col min="16" max="16" width="13.28515625" style="2" bestFit="1" customWidth="1"/>
    <col min="17" max="17" width="9.5703125" style="2" bestFit="1" customWidth="1"/>
    <col min="18" max="18" width="13.28515625" style="2" bestFit="1" customWidth="1"/>
    <col min="19" max="19" width="31.7109375" style="2" bestFit="1" customWidth="1"/>
    <col min="20" max="16384" width="9.28515625" style="12"/>
  </cols>
  <sheetData>
    <row r="1" spans="1:19">
      <c r="A1" s="2" t="s">
        <v>108</v>
      </c>
      <c r="B1" s="227" t="str">
        <f>Info!C2</f>
        <v>JSC "VTB Bank (Georgia)"</v>
      </c>
    </row>
    <row r="2" spans="1:19">
      <c r="A2" s="2" t="s">
        <v>109</v>
      </c>
      <c r="B2" s="337">
        <f>Info!D2</f>
        <v>45565</v>
      </c>
    </row>
    <row r="4" spans="1:19" ht="39" thickBot="1">
      <c r="A4" s="37" t="s">
        <v>259</v>
      </c>
      <c r="B4" s="198" t="s">
        <v>294</v>
      </c>
    </row>
    <row r="5" spans="1:19">
      <c r="A5" s="84"/>
      <c r="B5" s="86"/>
      <c r="C5" s="78" t="s">
        <v>0</v>
      </c>
      <c r="D5" s="78" t="s">
        <v>1</v>
      </c>
      <c r="E5" s="78" t="s">
        <v>2</v>
      </c>
      <c r="F5" s="78" t="s">
        <v>3</v>
      </c>
      <c r="G5" s="78" t="s">
        <v>4</v>
      </c>
      <c r="H5" s="78" t="s">
        <v>5</v>
      </c>
      <c r="I5" s="78" t="s">
        <v>145</v>
      </c>
      <c r="J5" s="78" t="s">
        <v>146</v>
      </c>
      <c r="K5" s="78" t="s">
        <v>147</v>
      </c>
      <c r="L5" s="78" t="s">
        <v>148</v>
      </c>
      <c r="M5" s="78" t="s">
        <v>149</v>
      </c>
      <c r="N5" s="78" t="s">
        <v>150</v>
      </c>
      <c r="O5" s="78" t="s">
        <v>281</v>
      </c>
      <c r="P5" s="78" t="s">
        <v>282</v>
      </c>
      <c r="Q5" s="78" t="s">
        <v>283</v>
      </c>
      <c r="R5" s="193" t="s">
        <v>284</v>
      </c>
      <c r="S5" s="79" t="s">
        <v>285</v>
      </c>
    </row>
    <row r="6" spans="1:19" ht="46.5" customHeight="1">
      <c r="A6" s="102"/>
      <c r="B6" s="845" t="s">
        <v>286</v>
      </c>
      <c r="C6" s="843">
        <v>0</v>
      </c>
      <c r="D6" s="844"/>
      <c r="E6" s="843">
        <v>0.2</v>
      </c>
      <c r="F6" s="844"/>
      <c r="G6" s="843">
        <v>0.35</v>
      </c>
      <c r="H6" s="844"/>
      <c r="I6" s="843">
        <v>0.5</v>
      </c>
      <c r="J6" s="844"/>
      <c r="K6" s="843">
        <v>0.75</v>
      </c>
      <c r="L6" s="844"/>
      <c r="M6" s="843">
        <v>1</v>
      </c>
      <c r="N6" s="844"/>
      <c r="O6" s="843">
        <v>1.5</v>
      </c>
      <c r="P6" s="844"/>
      <c r="Q6" s="843">
        <v>2.5</v>
      </c>
      <c r="R6" s="844"/>
      <c r="S6" s="841" t="s">
        <v>156</v>
      </c>
    </row>
    <row r="7" spans="1:19">
      <c r="A7" s="102"/>
      <c r="B7" s="846"/>
      <c r="C7" s="197" t="s">
        <v>279</v>
      </c>
      <c r="D7" s="197" t="s">
        <v>280</v>
      </c>
      <c r="E7" s="197" t="s">
        <v>279</v>
      </c>
      <c r="F7" s="197" t="s">
        <v>280</v>
      </c>
      <c r="G7" s="197" t="s">
        <v>279</v>
      </c>
      <c r="H7" s="197" t="s">
        <v>280</v>
      </c>
      <c r="I7" s="197" t="s">
        <v>279</v>
      </c>
      <c r="J7" s="197" t="s">
        <v>280</v>
      </c>
      <c r="K7" s="197" t="s">
        <v>279</v>
      </c>
      <c r="L7" s="197" t="s">
        <v>280</v>
      </c>
      <c r="M7" s="197" t="s">
        <v>279</v>
      </c>
      <c r="N7" s="197" t="s">
        <v>280</v>
      </c>
      <c r="O7" s="197" t="s">
        <v>279</v>
      </c>
      <c r="P7" s="197" t="s">
        <v>280</v>
      </c>
      <c r="Q7" s="197" t="s">
        <v>279</v>
      </c>
      <c r="R7" s="197" t="s">
        <v>280</v>
      </c>
      <c r="S7" s="842"/>
    </row>
    <row r="8" spans="1:19" s="105" customFormat="1">
      <c r="A8" s="82">
        <v>1</v>
      </c>
      <c r="B8" s="123" t="s">
        <v>134</v>
      </c>
      <c r="C8" s="708">
        <v>351</v>
      </c>
      <c r="D8" s="708"/>
      <c r="E8" s="708">
        <v>0</v>
      </c>
      <c r="F8" s="709"/>
      <c r="G8" s="708">
        <v>0</v>
      </c>
      <c r="H8" s="708"/>
      <c r="I8" s="708">
        <v>0</v>
      </c>
      <c r="J8" s="708"/>
      <c r="K8" s="708">
        <v>0</v>
      </c>
      <c r="L8" s="708"/>
      <c r="M8" s="708">
        <v>0</v>
      </c>
      <c r="N8" s="708"/>
      <c r="O8" s="708">
        <v>0</v>
      </c>
      <c r="P8" s="708"/>
      <c r="Q8" s="708">
        <v>0</v>
      </c>
      <c r="R8" s="709"/>
      <c r="S8" s="635">
        <f>$C$6*SUM(C8:D8)+$E$6*SUM(E8:F8)+$G$6*SUM(G8:H8)+$I$6*SUM(I8:J8)+$K$6*SUM(K8:L8)+$M$6*SUM(M8:N8)+$O$6*SUM(O8:P8)+$Q$6*SUM(Q8:R8)</f>
        <v>0</v>
      </c>
    </row>
    <row r="9" spans="1:19" s="105" customFormat="1">
      <c r="A9" s="82">
        <v>2</v>
      </c>
      <c r="B9" s="123" t="s">
        <v>135</v>
      </c>
      <c r="C9" s="708">
        <v>0</v>
      </c>
      <c r="D9" s="708"/>
      <c r="E9" s="708">
        <v>0</v>
      </c>
      <c r="F9" s="708"/>
      <c r="G9" s="708">
        <v>0</v>
      </c>
      <c r="H9" s="708"/>
      <c r="I9" s="708">
        <v>0</v>
      </c>
      <c r="J9" s="708"/>
      <c r="K9" s="708">
        <v>0</v>
      </c>
      <c r="L9" s="708"/>
      <c r="M9" s="708">
        <v>0</v>
      </c>
      <c r="N9" s="708"/>
      <c r="O9" s="708">
        <v>0</v>
      </c>
      <c r="P9" s="708"/>
      <c r="Q9" s="708">
        <v>0</v>
      </c>
      <c r="R9" s="709"/>
      <c r="S9" s="635">
        <f t="shared" ref="S9:S21" si="0">$C$6*SUM(C9:D9)+$E$6*SUM(E9:F9)+$G$6*SUM(G9:H9)+$I$6*SUM(I9:J9)+$K$6*SUM(K9:L9)+$M$6*SUM(M9:N9)+$O$6*SUM(O9:P9)+$Q$6*SUM(Q9:R9)</f>
        <v>0</v>
      </c>
    </row>
    <row r="10" spans="1:19" s="105" customFormat="1">
      <c r="A10" s="82">
        <v>3</v>
      </c>
      <c r="B10" s="123" t="s">
        <v>136</v>
      </c>
      <c r="C10" s="708">
        <v>0</v>
      </c>
      <c r="D10" s="708"/>
      <c r="E10" s="708">
        <v>0</v>
      </c>
      <c r="F10" s="708"/>
      <c r="G10" s="708">
        <v>0</v>
      </c>
      <c r="H10" s="708"/>
      <c r="I10" s="708">
        <v>0</v>
      </c>
      <c r="J10" s="708"/>
      <c r="K10" s="708">
        <v>0</v>
      </c>
      <c r="L10" s="708"/>
      <c r="M10" s="708">
        <v>0</v>
      </c>
      <c r="N10" s="708"/>
      <c r="O10" s="708">
        <v>0</v>
      </c>
      <c r="P10" s="708"/>
      <c r="Q10" s="708">
        <v>0</v>
      </c>
      <c r="R10" s="709"/>
      <c r="S10" s="635">
        <f t="shared" si="0"/>
        <v>0</v>
      </c>
    </row>
    <row r="11" spans="1:19" s="105" customFormat="1">
      <c r="A11" s="82">
        <v>4</v>
      </c>
      <c r="B11" s="123" t="s">
        <v>137</v>
      </c>
      <c r="C11" s="708">
        <v>0</v>
      </c>
      <c r="D11" s="708"/>
      <c r="E11" s="708">
        <v>0</v>
      </c>
      <c r="F11" s="708"/>
      <c r="G11" s="708">
        <v>0</v>
      </c>
      <c r="H11" s="708"/>
      <c r="I11" s="708">
        <v>0</v>
      </c>
      <c r="J11" s="708"/>
      <c r="K11" s="708">
        <v>0</v>
      </c>
      <c r="L11" s="708"/>
      <c r="M11" s="708">
        <v>0</v>
      </c>
      <c r="N11" s="708"/>
      <c r="O11" s="708">
        <v>0</v>
      </c>
      <c r="P11" s="708"/>
      <c r="Q11" s="708">
        <v>0</v>
      </c>
      <c r="R11" s="709"/>
      <c r="S11" s="635">
        <f t="shared" si="0"/>
        <v>0</v>
      </c>
    </row>
    <row r="12" spans="1:19" s="105" customFormat="1">
      <c r="A12" s="82">
        <v>5</v>
      </c>
      <c r="B12" s="123" t="s">
        <v>949</v>
      </c>
      <c r="C12" s="708">
        <v>0</v>
      </c>
      <c r="D12" s="708"/>
      <c r="E12" s="708">
        <v>0</v>
      </c>
      <c r="F12" s="708"/>
      <c r="G12" s="708">
        <v>0</v>
      </c>
      <c r="H12" s="708"/>
      <c r="I12" s="708">
        <v>0</v>
      </c>
      <c r="J12" s="708"/>
      <c r="K12" s="708">
        <v>0</v>
      </c>
      <c r="L12" s="708"/>
      <c r="M12" s="708">
        <v>0</v>
      </c>
      <c r="N12" s="708"/>
      <c r="O12" s="708">
        <v>0</v>
      </c>
      <c r="P12" s="708"/>
      <c r="Q12" s="708">
        <v>0</v>
      </c>
      <c r="R12" s="709"/>
      <c r="S12" s="635">
        <f t="shared" si="0"/>
        <v>0</v>
      </c>
    </row>
    <row r="13" spans="1:19" s="105" customFormat="1">
      <c r="A13" s="82">
        <v>6</v>
      </c>
      <c r="B13" s="123" t="s">
        <v>138</v>
      </c>
      <c r="C13" s="708">
        <v>0</v>
      </c>
      <c r="D13" s="708"/>
      <c r="E13" s="708">
        <v>5582133.6408000011</v>
      </c>
      <c r="F13" s="708"/>
      <c r="G13" s="708">
        <v>0</v>
      </c>
      <c r="H13" s="708"/>
      <c r="I13" s="708">
        <v>1328239.7040999988</v>
      </c>
      <c r="J13" s="708"/>
      <c r="K13" s="708">
        <v>0</v>
      </c>
      <c r="L13" s="708"/>
      <c r="M13" s="708">
        <v>118532.6551</v>
      </c>
      <c r="N13" s="708">
        <v>0</v>
      </c>
      <c r="O13" s="708">
        <v>0</v>
      </c>
      <c r="P13" s="708"/>
      <c r="Q13" s="708">
        <v>0</v>
      </c>
      <c r="R13" s="709"/>
      <c r="S13" s="635">
        <f t="shared" si="0"/>
        <v>1899079.2353099997</v>
      </c>
    </row>
    <row r="14" spans="1:19" s="105" customFormat="1">
      <c r="A14" s="82">
        <v>7</v>
      </c>
      <c r="B14" s="123" t="s">
        <v>71</v>
      </c>
      <c r="C14" s="708">
        <v>0</v>
      </c>
      <c r="D14" s="708">
        <v>0</v>
      </c>
      <c r="E14" s="708">
        <v>0</v>
      </c>
      <c r="F14" s="708">
        <v>0</v>
      </c>
      <c r="G14" s="708">
        <v>0</v>
      </c>
      <c r="H14" s="708"/>
      <c r="I14" s="708">
        <v>0</v>
      </c>
      <c r="J14" s="708">
        <v>0</v>
      </c>
      <c r="K14" s="708">
        <v>0</v>
      </c>
      <c r="L14" s="708"/>
      <c r="M14" s="708">
        <v>100456213</v>
      </c>
      <c r="N14" s="708">
        <v>113684.26116475409</v>
      </c>
      <c r="O14" s="708">
        <v>6286042</v>
      </c>
      <c r="P14" s="708">
        <v>0</v>
      </c>
      <c r="Q14" s="708">
        <v>0</v>
      </c>
      <c r="R14" s="709">
        <v>0</v>
      </c>
      <c r="S14" s="635">
        <f t="shared" si="0"/>
        <v>109998960.26116475</v>
      </c>
    </row>
    <row r="15" spans="1:19" s="105" customFormat="1">
      <c r="A15" s="82">
        <v>8</v>
      </c>
      <c r="B15" s="123" t="s">
        <v>72</v>
      </c>
      <c r="C15" s="708">
        <v>0</v>
      </c>
      <c r="D15" s="708"/>
      <c r="E15" s="708">
        <v>0</v>
      </c>
      <c r="F15" s="708"/>
      <c r="G15" s="708">
        <v>0</v>
      </c>
      <c r="H15" s="708"/>
      <c r="I15" s="708">
        <v>0</v>
      </c>
      <c r="J15" s="708"/>
      <c r="K15" s="708">
        <v>0</v>
      </c>
      <c r="L15" s="708">
        <v>0</v>
      </c>
      <c r="M15" s="708">
        <v>0</v>
      </c>
      <c r="N15" s="708">
        <v>0</v>
      </c>
      <c r="O15" s="708">
        <v>0</v>
      </c>
      <c r="P15" s="708">
        <v>0</v>
      </c>
      <c r="Q15" s="708">
        <v>0</v>
      </c>
      <c r="R15" s="709"/>
      <c r="S15" s="635">
        <f t="shared" si="0"/>
        <v>0</v>
      </c>
    </row>
    <row r="16" spans="1:19" s="105" customFormat="1">
      <c r="A16" s="82">
        <v>9</v>
      </c>
      <c r="B16" s="123" t="s">
        <v>950</v>
      </c>
      <c r="C16" s="708">
        <v>0</v>
      </c>
      <c r="D16" s="708"/>
      <c r="E16" s="708">
        <v>0</v>
      </c>
      <c r="F16" s="708"/>
      <c r="G16" s="708">
        <v>6718657</v>
      </c>
      <c r="H16" s="708">
        <v>0</v>
      </c>
      <c r="I16" s="708">
        <v>0</v>
      </c>
      <c r="J16" s="708"/>
      <c r="K16" s="708">
        <v>0</v>
      </c>
      <c r="L16" s="708"/>
      <c r="M16" s="708">
        <v>0</v>
      </c>
      <c r="N16" s="708"/>
      <c r="O16" s="708">
        <v>0</v>
      </c>
      <c r="P16" s="708"/>
      <c r="Q16" s="708">
        <v>0</v>
      </c>
      <c r="R16" s="709"/>
      <c r="S16" s="635">
        <f t="shared" si="0"/>
        <v>2351529.9499999997</v>
      </c>
    </row>
    <row r="17" spans="1:19" s="105" customFormat="1">
      <c r="A17" s="82">
        <v>10</v>
      </c>
      <c r="B17" s="123" t="s">
        <v>67</v>
      </c>
      <c r="C17" s="708">
        <v>13188</v>
      </c>
      <c r="D17" s="708"/>
      <c r="E17" s="708">
        <v>0</v>
      </c>
      <c r="F17" s="708"/>
      <c r="G17" s="708">
        <v>0</v>
      </c>
      <c r="H17" s="708"/>
      <c r="I17" s="708">
        <v>3352199</v>
      </c>
      <c r="J17" s="708"/>
      <c r="K17" s="708">
        <v>0</v>
      </c>
      <c r="L17" s="708"/>
      <c r="M17" s="708">
        <v>25505295</v>
      </c>
      <c r="N17" s="708"/>
      <c r="O17" s="708">
        <v>37982080</v>
      </c>
      <c r="P17" s="708"/>
      <c r="Q17" s="708">
        <v>0</v>
      </c>
      <c r="R17" s="709"/>
      <c r="S17" s="635">
        <f t="shared" si="0"/>
        <v>84154514.5</v>
      </c>
    </row>
    <row r="18" spans="1:19" s="105" customFormat="1">
      <c r="A18" s="82">
        <v>11</v>
      </c>
      <c r="B18" s="123" t="s">
        <v>68</v>
      </c>
      <c r="C18" s="708">
        <v>0</v>
      </c>
      <c r="D18" s="708"/>
      <c r="E18" s="708">
        <v>0</v>
      </c>
      <c r="F18" s="708"/>
      <c r="G18" s="708">
        <v>0</v>
      </c>
      <c r="H18" s="708"/>
      <c r="I18" s="708">
        <v>0</v>
      </c>
      <c r="J18" s="708"/>
      <c r="K18" s="708">
        <v>0</v>
      </c>
      <c r="L18" s="708"/>
      <c r="M18" s="708">
        <v>0</v>
      </c>
      <c r="N18" s="708"/>
      <c r="O18" s="708">
        <v>0</v>
      </c>
      <c r="P18" s="708"/>
      <c r="Q18" s="708">
        <v>0</v>
      </c>
      <c r="R18" s="709"/>
      <c r="S18" s="635">
        <f t="shared" si="0"/>
        <v>0</v>
      </c>
    </row>
    <row r="19" spans="1:19" s="105" customFormat="1">
      <c r="A19" s="82">
        <v>12</v>
      </c>
      <c r="B19" s="123" t="s">
        <v>69</v>
      </c>
      <c r="C19" s="708">
        <v>0</v>
      </c>
      <c r="D19" s="708"/>
      <c r="E19" s="708">
        <v>0</v>
      </c>
      <c r="F19" s="708"/>
      <c r="G19" s="708">
        <v>0</v>
      </c>
      <c r="H19" s="708"/>
      <c r="I19" s="708">
        <v>0</v>
      </c>
      <c r="J19" s="708"/>
      <c r="K19" s="708">
        <v>0</v>
      </c>
      <c r="L19" s="708"/>
      <c r="M19" s="708">
        <v>0</v>
      </c>
      <c r="N19" s="708"/>
      <c r="O19" s="708">
        <v>0</v>
      </c>
      <c r="P19" s="708"/>
      <c r="Q19" s="708">
        <v>0</v>
      </c>
      <c r="R19" s="709"/>
      <c r="S19" s="635">
        <f t="shared" si="0"/>
        <v>0</v>
      </c>
    </row>
    <row r="20" spans="1:19" s="105" customFormat="1">
      <c r="A20" s="82">
        <v>13</v>
      </c>
      <c r="B20" s="123" t="s">
        <v>70</v>
      </c>
      <c r="C20" s="708">
        <v>0</v>
      </c>
      <c r="D20" s="708"/>
      <c r="E20" s="708">
        <v>0</v>
      </c>
      <c r="F20" s="708"/>
      <c r="G20" s="708">
        <v>0</v>
      </c>
      <c r="H20" s="708"/>
      <c r="I20" s="708">
        <v>0</v>
      </c>
      <c r="J20" s="708"/>
      <c r="K20" s="708">
        <v>0</v>
      </c>
      <c r="L20" s="708"/>
      <c r="M20" s="708">
        <v>0</v>
      </c>
      <c r="N20" s="708"/>
      <c r="O20" s="708">
        <v>0</v>
      </c>
      <c r="P20" s="708"/>
      <c r="Q20" s="708">
        <v>0</v>
      </c>
      <c r="R20" s="709"/>
      <c r="S20" s="635">
        <f t="shared" si="0"/>
        <v>0</v>
      </c>
    </row>
    <row r="21" spans="1:19" s="105" customFormat="1">
      <c r="A21" s="82">
        <v>14</v>
      </c>
      <c r="B21" s="123" t="s">
        <v>154</v>
      </c>
      <c r="C21" s="708">
        <v>166906935.21919999</v>
      </c>
      <c r="D21" s="708"/>
      <c r="E21" s="708">
        <v>0</v>
      </c>
      <c r="F21" s="708"/>
      <c r="G21" s="708">
        <v>0</v>
      </c>
      <c r="H21" s="708"/>
      <c r="I21" s="708">
        <v>0</v>
      </c>
      <c r="J21" s="708"/>
      <c r="K21" s="708">
        <v>0</v>
      </c>
      <c r="L21" s="708"/>
      <c r="M21" s="708">
        <v>102964494.13999999</v>
      </c>
      <c r="N21" s="708"/>
      <c r="O21" s="708">
        <v>0</v>
      </c>
      <c r="P21" s="708"/>
      <c r="Q21" s="708">
        <v>0</v>
      </c>
      <c r="R21" s="709"/>
      <c r="S21" s="635">
        <f t="shared" si="0"/>
        <v>102964494.13999999</v>
      </c>
    </row>
    <row r="22" spans="1:19" ht="13.5" thickBot="1">
      <c r="A22" s="64"/>
      <c r="B22" s="107" t="s">
        <v>66</v>
      </c>
      <c r="C22" s="634">
        <f>SUM(C8:C21)</f>
        <v>166920474.21919999</v>
      </c>
      <c r="D22" s="634">
        <f t="shared" ref="D22:S22" si="1">SUM(D8:D21)</f>
        <v>0</v>
      </c>
      <c r="E22" s="634">
        <f t="shared" si="1"/>
        <v>5582133.6408000011</v>
      </c>
      <c r="F22" s="634">
        <f t="shared" si="1"/>
        <v>0</v>
      </c>
      <c r="G22" s="634">
        <f t="shared" si="1"/>
        <v>6718657</v>
      </c>
      <c r="H22" s="634">
        <f t="shared" si="1"/>
        <v>0</v>
      </c>
      <c r="I22" s="634">
        <f t="shared" si="1"/>
        <v>4680438.7040999988</v>
      </c>
      <c r="J22" s="634">
        <f t="shared" si="1"/>
        <v>0</v>
      </c>
      <c r="K22" s="634">
        <f t="shared" si="1"/>
        <v>0</v>
      </c>
      <c r="L22" s="634">
        <f t="shared" si="1"/>
        <v>0</v>
      </c>
      <c r="M22" s="634">
        <f t="shared" si="1"/>
        <v>229044534.79509997</v>
      </c>
      <c r="N22" s="634">
        <f t="shared" si="1"/>
        <v>113684.26116475409</v>
      </c>
      <c r="O22" s="634">
        <f t="shared" si="1"/>
        <v>44268122</v>
      </c>
      <c r="P22" s="634">
        <f t="shared" si="1"/>
        <v>0</v>
      </c>
      <c r="Q22" s="634">
        <f t="shared" si="1"/>
        <v>0</v>
      </c>
      <c r="R22" s="634">
        <f t="shared" si="1"/>
        <v>0</v>
      </c>
      <c r="S22" s="633">
        <f t="shared" si="1"/>
        <v>301368578.08647478</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60" zoomScaleNormal="60" workbookViewId="0">
      <pane xSplit="2" ySplit="6" topLeftCell="M7" activePane="bottomRight" state="frozen"/>
      <selection activeCell="B2" sqref="B2"/>
      <selection pane="topRight" activeCell="B2" sqref="B2"/>
      <selection pane="bottomLeft" activeCell="B2" sqref="B2"/>
      <selection pane="bottomRight" activeCell="D7" sqref="D7:U20"/>
    </sheetView>
  </sheetViews>
  <sheetFormatPr defaultColWidth="9.28515625" defaultRowHeight="12.75"/>
  <cols>
    <col min="1" max="1" width="10.5703125" style="2" bestFit="1" customWidth="1"/>
    <col min="2" max="2" width="97" style="2" bestFit="1" customWidth="1"/>
    <col min="3" max="3" width="19" style="2" customWidth="1"/>
    <col min="4" max="4" width="19.5703125" style="2" customWidth="1"/>
    <col min="5" max="5" width="31.28515625" style="2" customWidth="1"/>
    <col min="6" max="6" width="29.28515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71093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28515625" style="2" customWidth="1"/>
    <col min="22" max="22" width="20" style="2" customWidth="1"/>
    <col min="23" max="16384" width="9.28515625" style="12"/>
  </cols>
  <sheetData>
    <row r="1" spans="1:22">
      <c r="A1" s="2" t="s">
        <v>108</v>
      </c>
      <c r="B1" s="227" t="str">
        <f>Info!C2</f>
        <v>JSC "VTB Bank (Georgia)"</v>
      </c>
    </row>
    <row r="2" spans="1:22">
      <c r="A2" s="2" t="s">
        <v>109</v>
      </c>
      <c r="B2" s="337">
        <f>Info!D2</f>
        <v>45565</v>
      </c>
    </row>
    <row r="4" spans="1:22" ht="27.75" thickBot="1">
      <c r="A4" s="2" t="s">
        <v>260</v>
      </c>
      <c r="B4" s="199" t="s">
        <v>295</v>
      </c>
      <c r="V4" s="149" t="s">
        <v>87</v>
      </c>
    </row>
    <row r="5" spans="1:22">
      <c r="A5" s="62"/>
      <c r="B5" s="63"/>
      <c r="C5" s="847" t="s">
        <v>116</v>
      </c>
      <c r="D5" s="848"/>
      <c r="E5" s="848"/>
      <c r="F5" s="848"/>
      <c r="G5" s="848"/>
      <c r="H5" s="848"/>
      <c r="I5" s="848"/>
      <c r="J5" s="848"/>
      <c r="K5" s="848"/>
      <c r="L5" s="849"/>
      <c r="M5" s="847" t="s">
        <v>117</v>
      </c>
      <c r="N5" s="848"/>
      <c r="O5" s="848"/>
      <c r="P5" s="848"/>
      <c r="Q5" s="848"/>
      <c r="R5" s="848"/>
      <c r="S5" s="849"/>
      <c r="T5" s="852" t="s">
        <v>293</v>
      </c>
      <c r="U5" s="852" t="s">
        <v>292</v>
      </c>
      <c r="V5" s="850" t="s">
        <v>118</v>
      </c>
    </row>
    <row r="6" spans="1:22" s="37" customFormat="1" ht="140.25">
      <c r="A6" s="80"/>
      <c r="B6" s="125"/>
      <c r="C6" s="60" t="s">
        <v>119</v>
      </c>
      <c r="D6" s="59" t="s">
        <v>120</v>
      </c>
      <c r="E6" s="56" t="s">
        <v>121</v>
      </c>
      <c r="F6" s="200" t="s">
        <v>287</v>
      </c>
      <c r="G6" s="59" t="s">
        <v>122</v>
      </c>
      <c r="H6" s="59" t="s">
        <v>123</v>
      </c>
      <c r="I6" s="59" t="s">
        <v>124</v>
      </c>
      <c r="J6" s="59" t="s">
        <v>153</v>
      </c>
      <c r="K6" s="59" t="s">
        <v>125</v>
      </c>
      <c r="L6" s="61" t="s">
        <v>126</v>
      </c>
      <c r="M6" s="60" t="s">
        <v>127</v>
      </c>
      <c r="N6" s="59" t="s">
        <v>128</v>
      </c>
      <c r="O6" s="59" t="s">
        <v>129</v>
      </c>
      <c r="P6" s="59" t="s">
        <v>130</v>
      </c>
      <c r="Q6" s="59" t="s">
        <v>131</v>
      </c>
      <c r="R6" s="59" t="s">
        <v>132</v>
      </c>
      <c r="S6" s="61" t="s">
        <v>133</v>
      </c>
      <c r="T6" s="853"/>
      <c r="U6" s="853"/>
      <c r="V6" s="851"/>
    </row>
    <row r="7" spans="1:22" s="105" customFormat="1">
      <c r="A7" s="106">
        <v>1</v>
      </c>
      <c r="B7" s="123" t="s">
        <v>134</v>
      </c>
      <c r="C7" s="710"/>
      <c r="D7" s="710">
        <v>0</v>
      </c>
      <c r="E7" s="710"/>
      <c r="F7" s="710"/>
      <c r="G7" s="710"/>
      <c r="H7" s="710"/>
      <c r="I7" s="710"/>
      <c r="J7" s="710">
        <v>0</v>
      </c>
      <c r="K7" s="710"/>
      <c r="L7" s="711"/>
      <c r="M7" s="712"/>
      <c r="N7" s="710"/>
      <c r="O7" s="710"/>
      <c r="P7" s="710"/>
      <c r="Q7" s="710"/>
      <c r="R7" s="710"/>
      <c r="S7" s="711"/>
      <c r="T7" s="713">
        <v>0</v>
      </c>
      <c r="U7" s="714"/>
      <c r="V7" s="181">
        <f>SUM(C7:S7)</f>
        <v>0</v>
      </c>
    </row>
    <row r="8" spans="1:22" s="105" customFormat="1">
      <c r="A8" s="106">
        <v>2</v>
      </c>
      <c r="B8" s="123" t="s">
        <v>135</v>
      </c>
      <c r="C8" s="710"/>
      <c r="D8" s="710">
        <v>0</v>
      </c>
      <c r="E8" s="710"/>
      <c r="F8" s="710"/>
      <c r="G8" s="710"/>
      <c r="H8" s="710"/>
      <c r="I8" s="710"/>
      <c r="J8" s="710">
        <v>0</v>
      </c>
      <c r="K8" s="710"/>
      <c r="L8" s="711"/>
      <c r="M8" s="712"/>
      <c r="N8" s="710"/>
      <c r="O8" s="710"/>
      <c r="P8" s="710"/>
      <c r="Q8" s="710"/>
      <c r="R8" s="710"/>
      <c r="S8" s="711"/>
      <c r="T8" s="714">
        <v>0</v>
      </c>
      <c r="U8" s="714"/>
      <c r="V8" s="181">
        <f t="shared" ref="V8:V20" si="0">SUM(C8:S8)</f>
        <v>0</v>
      </c>
    </row>
    <row r="9" spans="1:22" s="105" customFormat="1">
      <c r="A9" s="106">
        <v>3</v>
      </c>
      <c r="B9" s="123" t="s">
        <v>136</v>
      </c>
      <c r="C9" s="710"/>
      <c r="D9" s="710">
        <v>0</v>
      </c>
      <c r="E9" s="710"/>
      <c r="F9" s="710"/>
      <c r="G9" s="710"/>
      <c r="H9" s="710"/>
      <c r="I9" s="710"/>
      <c r="J9" s="710">
        <v>0</v>
      </c>
      <c r="K9" s="710"/>
      <c r="L9" s="711"/>
      <c r="M9" s="712"/>
      <c r="N9" s="710"/>
      <c r="O9" s="710"/>
      <c r="P9" s="710"/>
      <c r="Q9" s="710"/>
      <c r="R9" s="710"/>
      <c r="S9" s="711"/>
      <c r="T9" s="714">
        <v>0</v>
      </c>
      <c r="U9" s="714"/>
      <c r="V9" s="181">
        <f>SUM(C9:S9)</f>
        <v>0</v>
      </c>
    </row>
    <row r="10" spans="1:22" s="105" customFormat="1">
      <c r="A10" s="106">
        <v>4</v>
      </c>
      <c r="B10" s="123" t="s">
        <v>137</v>
      </c>
      <c r="C10" s="710"/>
      <c r="D10" s="710">
        <v>0</v>
      </c>
      <c r="E10" s="710"/>
      <c r="F10" s="710"/>
      <c r="G10" s="710"/>
      <c r="H10" s="710"/>
      <c r="I10" s="710"/>
      <c r="J10" s="710">
        <v>0</v>
      </c>
      <c r="K10" s="710"/>
      <c r="L10" s="711"/>
      <c r="M10" s="712"/>
      <c r="N10" s="710"/>
      <c r="O10" s="710"/>
      <c r="P10" s="710"/>
      <c r="Q10" s="710"/>
      <c r="R10" s="710"/>
      <c r="S10" s="711"/>
      <c r="T10" s="714">
        <v>0</v>
      </c>
      <c r="U10" s="714"/>
      <c r="V10" s="181">
        <f t="shared" si="0"/>
        <v>0</v>
      </c>
    </row>
    <row r="11" spans="1:22" s="105" customFormat="1">
      <c r="A11" s="106">
        <v>5</v>
      </c>
      <c r="B11" s="123" t="s">
        <v>949</v>
      </c>
      <c r="C11" s="710"/>
      <c r="D11" s="710">
        <v>0</v>
      </c>
      <c r="E11" s="710"/>
      <c r="F11" s="710"/>
      <c r="G11" s="710"/>
      <c r="H11" s="710"/>
      <c r="I11" s="710"/>
      <c r="J11" s="710">
        <v>0</v>
      </c>
      <c r="K11" s="710"/>
      <c r="L11" s="711"/>
      <c r="M11" s="712"/>
      <c r="N11" s="710"/>
      <c r="O11" s="710"/>
      <c r="P11" s="710"/>
      <c r="Q11" s="710"/>
      <c r="R11" s="710"/>
      <c r="S11" s="711"/>
      <c r="T11" s="714">
        <v>0</v>
      </c>
      <c r="U11" s="714"/>
      <c r="V11" s="181">
        <f t="shared" si="0"/>
        <v>0</v>
      </c>
    </row>
    <row r="12" spans="1:22" s="105" customFormat="1">
      <c r="A12" s="106">
        <v>6</v>
      </c>
      <c r="B12" s="123" t="s">
        <v>138</v>
      </c>
      <c r="C12" s="710"/>
      <c r="D12" s="710">
        <v>0</v>
      </c>
      <c r="E12" s="710"/>
      <c r="F12" s="710"/>
      <c r="G12" s="710"/>
      <c r="H12" s="710"/>
      <c r="I12" s="710"/>
      <c r="J12" s="710">
        <v>0</v>
      </c>
      <c r="K12" s="710"/>
      <c r="L12" s="711"/>
      <c r="M12" s="712"/>
      <c r="N12" s="710"/>
      <c r="O12" s="710"/>
      <c r="P12" s="710"/>
      <c r="Q12" s="710"/>
      <c r="R12" s="710"/>
      <c r="S12" s="711"/>
      <c r="T12" s="714">
        <v>0</v>
      </c>
      <c r="U12" s="714"/>
      <c r="V12" s="181">
        <f t="shared" si="0"/>
        <v>0</v>
      </c>
    </row>
    <row r="13" spans="1:22" s="105" customFormat="1">
      <c r="A13" s="106">
        <v>7</v>
      </c>
      <c r="B13" s="123" t="s">
        <v>71</v>
      </c>
      <c r="C13" s="710"/>
      <c r="D13" s="710">
        <v>361968.15564800001</v>
      </c>
      <c r="E13" s="710"/>
      <c r="F13" s="710"/>
      <c r="G13" s="710"/>
      <c r="H13" s="710"/>
      <c r="I13" s="710"/>
      <c r="J13" s="710">
        <v>0</v>
      </c>
      <c r="K13" s="710"/>
      <c r="L13" s="711"/>
      <c r="M13" s="712"/>
      <c r="N13" s="710"/>
      <c r="O13" s="710"/>
      <c r="P13" s="710"/>
      <c r="Q13" s="710"/>
      <c r="R13" s="710"/>
      <c r="S13" s="711"/>
      <c r="T13" s="714">
        <v>340804</v>
      </c>
      <c r="U13" s="714">
        <v>21164.155648</v>
      </c>
      <c r="V13" s="181">
        <f t="shared" si="0"/>
        <v>361968.15564800001</v>
      </c>
    </row>
    <row r="14" spans="1:22" s="105" customFormat="1">
      <c r="A14" s="106">
        <v>8</v>
      </c>
      <c r="B14" s="123" t="s">
        <v>72</v>
      </c>
      <c r="C14" s="710"/>
      <c r="D14" s="710">
        <v>0</v>
      </c>
      <c r="E14" s="710"/>
      <c r="F14" s="710"/>
      <c r="G14" s="710"/>
      <c r="H14" s="710"/>
      <c r="I14" s="710"/>
      <c r="J14" s="710">
        <v>0</v>
      </c>
      <c r="K14" s="710"/>
      <c r="L14" s="711"/>
      <c r="M14" s="712"/>
      <c r="N14" s="710"/>
      <c r="O14" s="710"/>
      <c r="P14" s="710"/>
      <c r="Q14" s="710"/>
      <c r="R14" s="710"/>
      <c r="S14" s="711"/>
      <c r="T14" s="714">
        <v>0</v>
      </c>
      <c r="U14" s="714">
        <v>0</v>
      </c>
      <c r="V14" s="181">
        <f t="shared" si="0"/>
        <v>0</v>
      </c>
    </row>
    <row r="15" spans="1:22" s="105" customFormat="1">
      <c r="A15" s="106">
        <v>9</v>
      </c>
      <c r="B15" s="123" t="s">
        <v>950</v>
      </c>
      <c r="C15" s="710"/>
      <c r="D15" s="710">
        <v>0</v>
      </c>
      <c r="E15" s="710"/>
      <c r="F15" s="710"/>
      <c r="G15" s="710"/>
      <c r="H15" s="710"/>
      <c r="I15" s="710"/>
      <c r="J15" s="710">
        <v>0</v>
      </c>
      <c r="K15" s="710"/>
      <c r="L15" s="711"/>
      <c r="M15" s="712"/>
      <c r="N15" s="710"/>
      <c r="O15" s="710"/>
      <c r="P15" s="710"/>
      <c r="Q15" s="710"/>
      <c r="R15" s="710"/>
      <c r="S15" s="711"/>
      <c r="T15" s="714">
        <v>0</v>
      </c>
      <c r="U15" s="714"/>
      <c r="V15" s="181">
        <f t="shared" si="0"/>
        <v>0</v>
      </c>
    </row>
    <row r="16" spans="1:22" s="105" customFormat="1">
      <c r="A16" s="106">
        <v>10</v>
      </c>
      <c r="B16" s="123" t="s">
        <v>67</v>
      </c>
      <c r="C16" s="710"/>
      <c r="D16" s="710">
        <v>190687</v>
      </c>
      <c r="E16" s="710"/>
      <c r="F16" s="710"/>
      <c r="G16" s="710"/>
      <c r="H16" s="710"/>
      <c r="I16" s="710"/>
      <c r="J16" s="710">
        <v>0</v>
      </c>
      <c r="K16" s="710"/>
      <c r="L16" s="711"/>
      <c r="M16" s="712"/>
      <c r="N16" s="710"/>
      <c r="O16" s="710"/>
      <c r="P16" s="710"/>
      <c r="Q16" s="710"/>
      <c r="R16" s="710"/>
      <c r="S16" s="711"/>
      <c r="T16" s="714">
        <v>190687</v>
      </c>
      <c r="U16" s="714"/>
      <c r="V16" s="181">
        <f t="shared" si="0"/>
        <v>190687</v>
      </c>
    </row>
    <row r="17" spans="1:22" s="105" customFormat="1">
      <c r="A17" s="106">
        <v>11</v>
      </c>
      <c r="B17" s="123" t="s">
        <v>68</v>
      </c>
      <c r="C17" s="710"/>
      <c r="D17" s="710">
        <v>0</v>
      </c>
      <c r="E17" s="710"/>
      <c r="F17" s="710"/>
      <c r="G17" s="710"/>
      <c r="H17" s="710"/>
      <c r="I17" s="710"/>
      <c r="J17" s="710">
        <v>0</v>
      </c>
      <c r="K17" s="710"/>
      <c r="L17" s="711"/>
      <c r="M17" s="712"/>
      <c r="N17" s="710"/>
      <c r="O17" s="710"/>
      <c r="P17" s="710"/>
      <c r="Q17" s="710"/>
      <c r="R17" s="710"/>
      <c r="S17" s="711"/>
      <c r="T17" s="714">
        <v>0</v>
      </c>
      <c r="U17" s="714"/>
      <c r="V17" s="181">
        <f t="shared" si="0"/>
        <v>0</v>
      </c>
    </row>
    <row r="18" spans="1:22" s="105" customFormat="1">
      <c r="A18" s="106">
        <v>12</v>
      </c>
      <c r="B18" s="123" t="s">
        <v>69</v>
      </c>
      <c r="C18" s="710"/>
      <c r="D18" s="710">
        <v>0</v>
      </c>
      <c r="E18" s="710"/>
      <c r="F18" s="710"/>
      <c r="G18" s="710"/>
      <c r="H18" s="710"/>
      <c r="I18" s="710"/>
      <c r="J18" s="710">
        <v>0</v>
      </c>
      <c r="K18" s="710"/>
      <c r="L18" s="711"/>
      <c r="M18" s="712"/>
      <c r="N18" s="710"/>
      <c r="O18" s="710"/>
      <c r="P18" s="710"/>
      <c r="Q18" s="710"/>
      <c r="R18" s="710"/>
      <c r="S18" s="711"/>
      <c r="T18" s="714">
        <v>0</v>
      </c>
      <c r="U18" s="714"/>
      <c r="V18" s="181">
        <f t="shared" si="0"/>
        <v>0</v>
      </c>
    </row>
    <row r="19" spans="1:22" s="105" customFormat="1">
      <c r="A19" s="106">
        <v>13</v>
      </c>
      <c r="B19" s="123" t="s">
        <v>70</v>
      </c>
      <c r="C19" s="710"/>
      <c r="D19" s="710">
        <v>0</v>
      </c>
      <c r="E19" s="710"/>
      <c r="F19" s="710"/>
      <c r="G19" s="710"/>
      <c r="H19" s="710"/>
      <c r="I19" s="710"/>
      <c r="J19" s="710">
        <v>0</v>
      </c>
      <c r="K19" s="710"/>
      <c r="L19" s="711"/>
      <c r="M19" s="712"/>
      <c r="N19" s="710"/>
      <c r="O19" s="710"/>
      <c r="P19" s="710"/>
      <c r="Q19" s="710"/>
      <c r="R19" s="710"/>
      <c r="S19" s="711"/>
      <c r="T19" s="714">
        <v>0</v>
      </c>
      <c r="U19" s="714"/>
      <c r="V19" s="181">
        <f t="shared" si="0"/>
        <v>0</v>
      </c>
    </row>
    <row r="20" spans="1:22" s="105" customFormat="1">
      <c r="A20" s="106">
        <v>14</v>
      </c>
      <c r="B20" s="123" t="s">
        <v>154</v>
      </c>
      <c r="C20" s="710"/>
      <c r="D20" s="710">
        <v>0</v>
      </c>
      <c r="E20" s="710"/>
      <c r="F20" s="710"/>
      <c r="G20" s="710"/>
      <c r="H20" s="710"/>
      <c r="I20" s="710"/>
      <c r="J20" s="710">
        <v>0</v>
      </c>
      <c r="K20" s="710"/>
      <c r="L20" s="711"/>
      <c r="M20" s="712"/>
      <c r="N20" s="710"/>
      <c r="O20" s="710"/>
      <c r="P20" s="710"/>
      <c r="Q20" s="710"/>
      <c r="R20" s="710"/>
      <c r="S20" s="711"/>
      <c r="T20" s="714">
        <v>0</v>
      </c>
      <c r="U20" s="714"/>
      <c r="V20" s="181">
        <f t="shared" si="0"/>
        <v>0</v>
      </c>
    </row>
    <row r="21" spans="1:22" ht="13.5" thickBot="1">
      <c r="A21" s="64"/>
      <c r="B21" s="65" t="s">
        <v>66</v>
      </c>
      <c r="C21" s="182">
        <f>SUM(C7:C20)</f>
        <v>0</v>
      </c>
      <c r="D21" s="180">
        <f t="shared" ref="D21:V21" si="1">SUM(D7:D20)</f>
        <v>552655.15564800007</v>
      </c>
      <c r="E21" s="180">
        <f t="shared" si="1"/>
        <v>0</v>
      </c>
      <c r="F21" s="180">
        <f t="shared" si="1"/>
        <v>0</v>
      </c>
      <c r="G21" s="180">
        <f t="shared" si="1"/>
        <v>0</v>
      </c>
      <c r="H21" s="180">
        <f t="shared" si="1"/>
        <v>0</v>
      </c>
      <c r="I21" s="180">
        <f t="shared" si="1"/>
        <v>0</v>
      </c>
      <c r="J21" s="180">
        <f t="shared" si="1"/>
        <v>0</v>
      </c>
      <c r="K21" s="180">
        <f t="shared" si="1"/>
        <v>0</v>
      </c>
      <c r="L21" s="183">
        <f t="shared" si="1"/>
        <v>0</v>
      </c>
      <c r="M21" s="182">
        <f t="shared" si="1"/>
        <v>0</v>
      </c>
      <c r="N21" s="180">
        <f t="shared" si="1"/>
        <v>0</v>
      </c>
      <c r="O21" s="180">
        <f t="shared" si="1"/>
        <v>0</v>
      </c>
      <c r="P21" s="180">
        <f t="shared" si="1"/>
        <v>0</v>
      </c>
      <c r="Q21" s="180">
        <f t="shared" si="1"/>
        <v>0</v>
      </c>
      <c r="R21" s="180">
        <f t="shared" si="1"/>
        <v>0</v>
      </c>
      <c r="S21" s="183">
        <f t="shared" si="1"/>
        <v>0</v>
      </c>
      <c r="T21" s="183">
        <f>SUM(T7:T20)</f>
        <v>531491</v>
      </c>
      <c r="U21" s="183">
        <f t="shared" si="1"/>
        <v>21164.155648</v>
      </c>
      <c r="V21" s="184">
        <f t="shared" si="1"/>
        <v>552655.15564800007</v>
      </c>
    </row>
    <row r="24" spans="1:22">
      <c r="A24" s="18"/>
      <c r="B24" s="18"/>
      <c r="C24" s="40"/>
      <c r="D24" s="40"/>
      <c r="E24" s="40"/>
    </row>
    <row r="25" spans="1:22">
      <c r="A25" s="57"/>
      <c r="B25" s="57"/>
      <c r="C25" s="18"/>
      <c r="D25" s="40"/>
      <c r="E25" s="40"/>
    </row>
    <row r="26" spans="1:22">
      <c r="A26" s="57"/>
      <c r="B26" s="58"/>
      <c r="C26" s="18"/>
      <c r="D26" s="40"/>
      <c r="E26" s="40"/>
    </row>
    <row r="27" spans="1:22">
      <c r="A27" s="57"/>
      <c r="B27" s="57"/>
      <c r="C27" s="18"/>
      <c r="D27" s="40"/>
      <c r="E27" s="40"/>
    </row>
    <row r="28" spans="1:22">
      <c r="A28" s="57"/>
      <c r="B28" s="58"/>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B2" sqref="B2"/>
      <selection pane="topRight" activeCell="B2" sqref="B2"/>
      <selection pane="bottomLeft" activeCell="B2" sqref="B2"/>
      <selection pane="bottomRight" activeCell="C8" sqref="C8:G21"/>
    </sheetView>
  </sheetViews>
  <sheetFormatPr defaultColWidth="9.28515625" defaultRowHeight="12.75"/>
  <cols>
    <col min="1" max="1" width="10.5703125" style="2" bestFit="1" customWidth="1"/>
    <col min="2" max="2" width="101.7109375" style="2" customWidth="1"/>
    <col min="3" max="3" width="13.7109375" style="2" customWidth="1"/>
    <col min="4" max="4" width="14.7109375" style="2" bestFit="1" customWidth="1"/>
    <col min="5" max="5" width="17.7109375" style="2" customWidth="1"/>
    <col min="6" max="6" width="15.7109375" style="2" customWidth="1"/>
    <col min="7" max="7" width="17.42578125" style="2" customWidth="1"/>
    <col min="8" max="8" width="15.28515625" style="2" customWidth="1"/>
    <col min="9" max="16384" width="9.28515625" style="12"/>
  </cols>
  <sheetData>
    <row r="1" spans="1:9">
      <c r="A1" s="2" t="s">
        <v>108</v>
      </c>
      <c r="B1" s="227" t="str">
        <f>Info!C2</f>
        <v>JSC "VTB Bank (Georgia)"</v>
      </c>
    </row>
    <row r="2" spans="1:9">
      <c r="A2" s="2" t="s">
        <v>109</v>
      </c>
      <c r="B2" s="337">
        <f>Info!D2</f>
        <v>45565</v>
      </c>
    </row>
    <row r="4" spans="1:9" ht="13.5" thickBot="1">
      <c r="A4" s="2" t="s">
        <v>261</v>
      </c>
      <c r="B4" s="196" t="s">
        <v>296</v>
      </c>
    </row>
    <row r="5" spans="1:9">
      <c r="A5" s="62"/>
      <c r="B5" s="103"/>
      <c r="C5" s="108" t="s">
        <v>0</v>
      </c>
      <c r="D5" s="108" t="s">
        <v>1</v>
      </c>
      <c r="E5" s="108" t="s">
        <v>2</v>
      </c>
      <c r="F5" s="108" t="s">
        <v>3</v>
      </c>
      <c r="G5" s="194" t="s">
        <v>4</v>
      </c>
      <c r="H5" s="109" t="s">
        <v>5</v>
      </c>
      <c r="I5" s="24"/>
    </row>
    <row r="6" spans="1:9" ht="15" customHeight="1">
      <c r="A6" s="102"/>
      <c r="B6" s="22"/>
      <c r="C6" s="854" t="s">
        <v>288</v>
      </c>
      <c r="D6" s="858" t="s">
        <v>309</v>
      </c>
      <c r="E6" s="859"/>
      <c r="F6" s="854" t="s">
        <v>315</v>
      </c>
      <c r="G6" s="854" t="s">
        <v>316</v>
      </c>
      <c r="H6" s="856" t="s">
        <v>290</v>
      </c>
      <c r="I6" s="24"/>
    </row>
    <row r="7" spans="1:9" ht="76.5">
      <c r="A7" s="102"/>
      <c r="B7" s="22"/>
      <c r="C7" s="855"/>
      <c r="D7" s="195" t="s">
        <v>291</v>
      </c>
      <c r="E7" s="195" t="s">
        <v>289</v>
      </c>
      <c r="F7" s="855"/>
      <c r="G7" s="855"/>
      <c r="H7" s="857"/>
      <c r="I7" s="24"/>
    </row>
    <row r="8" spans="1:9">
      <c r="A8" s="53">
        <v>1</v>
      </c>
      <c r="B8" s="123" t="s">
        <v>134</v>
      </c>
      <c r="C8" s="715">
        <v>351</v>
      </c>
      <c r="D8" s="716">
        <v>0</v>
      </c>
      <c r="E8" s="715">
        <v>0</v>
      </c>
      <c r="F8" s="715">
        <v>0</v>
      </c>
      <c r="G8" s="717">
        <v>0</v>
      </c>
      <c r="H8" s="201">
        <f>IFERROR(G8/(C8+E8),)</f>
        <v>0</v>
      </c>
    </row>
    <row r="9" spans="1:9" ht="15" customHeight="1">
      <c r="A9" s="53">
        <v>2</v>
      </c>
      <c r="B9" s="123" t="s">
        <v>135</v>
      </c>
      <c r="C9" s="715">
        <v>0</v>
      </c>
      <c r="D9" s="716">
        <v>0</v>
      </c>
      <c r="E9" s="715">
        <v>0</v>
      </c>
      <c r="F9" s="715">
        <v>0</v>
      </c>
      <c r="G9" s="717">
        <v>0</v>
      </c>
      <c r="H9" s="201">
        <f t="shared" ref="H9:H21" si="0">IFERROR(G9/(C9+E9),)</f>
        <v>0</v>
      </c>
    </row>
    <row r="10" spans="1:9">
      <c r="A10" s="53">
        <v>3</v>
      </c>
      <c r="B10" s="123" t="s">
        <v>136</v>
      </c>
      <c r="C10" s="715">
        <v>0</v>
      </c>
      <c r="D10" s="716">
        <v>0</v>
      </c>
      <c r="E10" s="715">
        <v>0</v>
      </c>
      <c r="F10" s="715">
        <v>0</v>
      </c>
      <c r="G10" s="717">
        <v>0</v>
      </c>
      <c r="H10" s="201">
        <f t="shared" si="0"/>
        <v>0</v>
      </c>
    </row>
    <row r="11" spans="1:9">
      <c r="A11" s="53">
        <v>4</v>
      </c>
      <c r="B11" s="123" t="s">
        <v>137</v>
      </c>
      <c r="C11" s="715">
        <v>0</v>
      </c>
      <c r="D11" s="716">
        <v>0</v>
      </c>
      <c r="E11" s="715">
        <v>0</v>
      </c>
      <c r="F11" s="715">
        <v>0</v>
      </c>
      <c r="G11" s="717">
        <v>0</v>
      </c>
      <c r="H11" s="201">
        <f t="shared" si="0"/>
        <v>0</v>
      </c>
    </row>
    <row r="12" spans="1:9">
      <c r="A12" s="53">
        <v>5</v>
      </c>
      <c r="B12" s="123" t="s">
        <v>949</v>
      </c>
      <c r="C12" s="715">
        <v>0</v>
      </c>
      <c r="D12" s="716">
        <v>0</v>
      </c>
      <c r="E12" s="715">
        <v>0</v>
      </c>
      <c r="F12" s="715">
        <v>0</v>
      </c>
      <c r="G12" s="717">
        <v>0</v>
      </c>
      <c r="H12" s="201">
        <f t="shared" si="0"/>
        <v>0</v>
      </c>
    </row>
    <row r="13" spans="1:9">
      <c r="A13" s="53">
        <v>6</v>
      </c>
      <c r="B13" s="123" t="s">
        <v>138</v>
      </c>
      <c r="C13" s="715">
        <v>7028906</v>
      </c>
      <c r="D13" s="716">
        <v>0</v>
      </c>
      <c r="E13" s="715">
        <v>0</v>
      </c>
      <c r="F13" s="715">
        <v>1899079.2353099997</v>
      </c>
      <c r="G13" s="717">
        <v>1899079.2353099997</v>
      </c>
      <c r="H13" s="201">
        <f t="shared" si="0"/>
        <v>0.27018133907467246</v>
      </c>
    </row>
    <row r="14" spans="1:9">
      <c r="A14" s="53">
        <v>7</v>
      </c>
      <c r="B14" s="123" t="s">
        <v>71</v>
      </c>
      <c r="C14" s="715">
        <v>106742255</v>
      </c>
      <c r="D14" s="716">
        <v>207823.25584563354</v>
      </c>
      <c r="E14" s="715">
        <v>113684.26116475409</v>
      </c>
      <c r="F14" s="716">
        <v>109998960.26116475</v>
      </c>
      <c r="G14" s="718">
        <v>109636992.10551676</v>
      </c>
      <c r="H14" s="201">
        <f t="shared" si="0"/>
        <v>1.0260261887507711</v>
      </c>
    </row>
    <row r="15" spans="1:9">
      <c r="A15" s="53">
        <v>8</v>
      </c>
      <c r="B15" s="123" t="s">
        <v>72</v>
      </c>
      <c r="C15" s="715">
        <v>0</v>
      </c>
      <c r="D15" s="716">
        <v>0</v>
      </c>
      <c r="E15" s="715">
        <v>0</v>
      </c>
      <c r="F15" s="716">
        <v>0</v>
      </c>
      <c r="G15" s="718">
        <v>0</v>
      </c>
      <c r="H15" s="201">
        <f t="shared" si="0"/>
        <v>0</v>
      </c>
    </row>
    <row r="16" spans="1:9">
      <c r="A16" s="53">
        <v>9</v>
      </c>
      <c r="B16" s="123" t="s">
        <v>950</v>
      </c>
      <c r="C16" s="715">
        <v>6718657</v>
      </c>
      <c r="D16" s="716">
        <v>0</v>
      </c>
      <c r="E16" s="715">
        <v>0</v>
      </c>
      <c r="F16" s="716">
        <v>2351529.9499999997</v>
      </c>
      <c r="G16" s="718">
        <v>2351529.9499999997</v>
      </c>
      <c r="H16" s="201">
        <f t="shared" si="0"/>
        <v>0.35</v>
      </c>
    </row>
    <row r="17" spans="1:8">
      <c r="A17" s="53">
        <v>10</v>
      </c>
      <c r="B17" s="123" t="s">
        <v>67</v>
      </c>
      <c r="C17" s="715">
        <v>66852762</v>
      </c>
      <c r="D17" s="716">
        <v>0</v>
      </c>
      <c r="E17" s="715">
        <v>0</v>
      </c>
      <c r="F17" s="716">
        <v>84154514.5</v>
      </c>
      <c r="G17" s="718">
        <v>83963827.5</v>
      </c>
      <c r="H17" s="201">
        <f t="shared" si="0"/>
        <v>1.2559515117714957</v>
      </c>
    </row>
    <row r="18" spans="1:8">
      <c r="A18" s="53">
        <v>11</v>
      </c>
      <c r="B18" s="123" t="s">
        <v>68</v>
      </c>
      <c r="C18" s="715">
        <v>0</v>
      </c>
      <c r="D18" s="716">
        <v>0</v>
      </c>
      <c r="E18" s="715">
        <v>0</v>
      </c>
      <c r="F18" s="716">
        <v>0</v>
      </c>
      <c r="G18" s="718">
        <v>0</v>
      </c>
      <c r="H18" s="201">
        <f t="shared" si="0"/>
        <v>0</v>
      </c>
    </row>
    <row r="19" spans="1:8">
      <c r="A19" s="53">
        <v>12</v>
      </c>
      <c r="B19" s="123" t="s">
        <v>69</v>
      </c>
      <c r="C19" s="715">
        <v>0</v>
      </c>
      <c r="D19" s="716">
        <v>0</v>
      </c>
      <c r="E19" s="715">
        <v>0</v>
      </c>
      <c r="F19" s="716">
        <v>0</v>
      </c>
      <c r="G19" s="718">
        <v>0</v>
      </c>
      <c r="H19" s="201">
        <f t="shared" si="0"/>
        <v>0</v>
      </c>
    </row>
    <row r="20" spans="1:8">
      <c r="A20" s="53">
        <v>13</v>
      </c>
      <c r="B20" s="123" t="s">
        <v>70</v>
      </c>
      <c r="C20" s="715">
        <v>0</v>
      </c>
      <c r="D20" s="716">
        <v>0</v>
      </c>
      <c r="E20" s="715">
        <v>0</v>
      </c>
      <c r="F20" s="716">
        <v>0</v>
      </c>
      <c r="G20" s="718">
        <v>0</v>
      </c>
      <c r="H20" s="201">
        <f t="shared" si="0"/>
        <v>0</v>
      </c>
    </row>
    <row r="21" spans="1:8">
      <c r="A21" s="53">
        <v>14</v>
      </c>
      <c r="B21" s="123" t="s">
        <v>154</v>
      </c>
      <c r="C21" s="715">
        <v>269871429.3592</v>
      </c>
      <c r="D21" s="716">
        <v>0</v>
      </c>
      <c r="E21" s="715">
        <v>0</v>
      </c>
      <c r="F21" s="718">
        <v>102964494.13999999</v>
      </c>
      <c r="G21" s="718">
        <v>102964494.13999999</v>
      </c>
      <c r="H21" s="201">
        <f t="shared" si="0"/>
        <v>0.38153165892545748</v>
      </c>
    </row>
    <row r="22" spans="1:8" ht="13.5" thickBot="1">
      <c r="A22" s="104"/>
      <c r="B22" s="110" t="s">
        <v>66</v>
      </c>
      <c r="C22" s="180">
        <f>SUM(C8:C21)</f>
        <v>457214360.3592</v>
      </c>
      <c r="D22" s="180">
        <f>SUM(D8:D21)</f>
        <v>207823.25584563354</v>
      </c>
      <c r="E22" s="180">
        <f>SUM(E8:E21)</f>
        <v>113684.26116475409</v>
      </c>
      <c r="F22" s="180">
        <f>SUM(F8:F21)</f>
        <v>301368578.08647478</v>
      </c>
      <c r="G22" s="180">
        <f>SUM(G8:G21)</f>
        <v>300815922.93082678</v>
      </c>
      <c r="H22" s="202">
        <f>G22/(C22+E22)</f>
        <v>0.65776837101809238</v>
      </c>
    </row>
    <row r="23" spans="1:8">
      <c r="G23" s="695">
        <f>G22-'5. RWA'!C6</f>
        <v>0.30551677942276001</v>
      </c>
      <c r="H23" s="695"/>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85" zoomScaleNormal="85" workbookViewId="0">
      <pane xSplit="2" ySplit="6" topLeftCell="C7" activePane="bottomRight" state="frozen"/>
      <selection activeCell="B2" sqref="B2"/>
      <selection pane="topRight" activeCell="B2" sqref="B2"/>
      <selection pane="bottomLeft" activeCell="B2" sqref="B2"/>
      <selection pane="bottomRight" activeCell="F23" sqref="F23:K25"/>
    </sheetView>
  </sheetViews>
  <sheetFormatPr defaultColWidth="9.28515625" defaultRowHeight="12.75"/>
  <cols>
    <col min="1" max="1" width="10.5703125" style="227" bestFit="1" customWidth="1"/>
    <col min="2" max="2" width="104.28515625" style="227" customWidth="1"/>
    <col min="3" max="11" width="12.7109375" style="227" customWidth="1"/>
    <col min="12" max="16384" width="9.28515625" style="227"/>
  </cols>
  <sheetData>
    <row r="1" spans="1:11">
      <c r="A1" s="227" t="s">
        <v>108</v>
      </c>
      <c r="B1" s="227" t="str">
        <f>Info!C2</f>
        <v>JSC "VTB Bank (Georgia)"</v>
      </c>
    </row>
    <row r="2" spans="1:11">
      <c r="A2" s="227" t="s">
        <v>109</v>
      </c>
      <c r="B2" s="745">
        <f>Info!D2</f>
        <v>45565</v>
      </c>
      <c r="C2" s="228"/>
      <c r="D2" s="228"/>
    </row>
    <row r="3" spans="1:11">
      <c r="B3" s="228"/>
      <c r="C3" s="228"/>
      <c r="D3" s="228"/>
    </row>
    <row r="4" spans="1:11" ht="13.5" thickBot="1">
      <c r="A4" s="227" t="s">
        <v>352</v>
      </c>
      <c r="B4" s="196" t="s">
        <v>351</v>
      </c>
      <c r="C4" s="228"/>
      <c r="D4" s="228"/>
    </row>
    <row r="5" spans="1:11" ht="30" customHeight="1">
      <c r="A5" s="863"/>
      <c r="B5" s="864"/>
      <c r="C5" s="861" t="s">
        <v>384</v>
      </c>
      <c r="D5" s="861"/>
      <c r="E5" s="861"/>
      <c r="F5" s="861" t="s">
        <v>385</v>
      </c>
      <c r="G5" s="861"/>
      <c r="H5" s="861"/>
      <c r="I5" s="861" t="s">
        <v>386</v>
      </c>
      <c r="J5" s="861"/>
      <c r="K5" s="862"/>
    </row>
    <row r="6" spans="1:11">
      <c r="A6" s="225"/>
      <c r="B6" s="226"/>
      <c r="C6" s="229" t="s">
        <v>26</v>
      </c>
      <c r="D6" s="229" t="s">
        <v>90</v>
      </c>
      <c r="E6" s="229" t="s">
        <v>66</v>
      </c>
      <c r="F6" s="229" t="s">
        <v>26</v>
      </c>
      <c r="G6" s="229" t="s">
        <v>90</v>
      </c>
      <c r="H6" s="229" t="s">
        <v>66</v>
      </c>
      <c r="I6" s="229" t="s">
        <v>26</v>
      </c>
      <c r="J6" s="229" t="s">
        <v>90</v>
      </c>
      <c r="K6" s="231" t="s">
        <v>66</v>
      </c>
    </row>
    <row r="7" spans="1:11">
      <c r="A7" s="232" t="s">
        <v>322</v>
      </c>
      <c r="B7" s="224"/>
      <c r="C7" s="224"/>
      <c r="D7" s="224"/>
      <c r="E7" s="224"/>
      <c r="F7" s="224"/>
      <c r="G7" s="224"/>
      <c r="H7" s="224"/>
      <c r="I7" s="224"/>
      <c r="J7" s="224"/>
      <c r="K7" s="233"/>
    </row>
    <row r="8" spans="1:11">
      <c r="A8" s="223">
        <v>1</v>
      </c>
      <c r="B8" s="208" t="s">
        <v>322</v>
      </c>
      <c r="C8" s="729"/>
      <c r="D8" s="729"/>
      <c r="E8" s="729"/>
      <c r="F8" s="730">
        <v>85527603.231739178</v>
      </c>
      <c r="G8" s="730">
        <v>63593294.100518495</v>
      </c>
      <c r="H8" s="730">
        <v>149120897.33225766</v>
      </c>
      <c r="I8" s="730">
        <v>85527603.231739178</v>
      </c>
      <c r="J8" s="730">
        <v>63593294.100518495</v>
      </c>
      <c r="K8" s="731">
        <v>149120897.33225766</v>
      </c>
    </row>
    <row r="9" spans="1:11">
      <c r="A9" s="232" t="s">
        <v>323</v>
      </c>
      <c r="B9" s="224"/>
      <c r="C9" s="732"/>
      <c r="D9" s="732"/>
      <c r="E9" s="732"/>
      <c r="F9" s="732"/>
      <c r="G9" s="732"/>
      <c r="H9" s="732"/>
      <c r="I9" s="732"/>
      <c r="J9" s="732"/>
      <c r="K9" s="733"/>
    </row>
    <row r="10" spans="1:11">
      <c r="A10" s="234">
        <v>2</v>
      </c>
      <c r="B10" s="209" t="s">
        <v>324</v>
      </c>
      <c r="C10" s="363">
        <v>3425417.3721739138</v>
      </c>
      <c r="D10" s="734">
        <v>466068.36293478252</v>
      </c>
      <c r="E10" s="734">
        <v>3891485.7351086945</v>
      </c>
      <c r="F10" s="734">
        <v>632671.62301521748</v>
      </c>
      <c r="G10" s="734">
        <v>39126.09558043479</v>
      </c>
      <c r="H10" s="734">
        <v>671797.71859565226</v>
      </c>
      <c r="I10" s="734">
        <v>157553.74910869563</v>
      </c>
      <c r="J10" s="734">
        <v>9740.0248206521683</v>
      </c>
      <c r="K10" s="735">
        <v>167293.77392934778</v>
      </c>
    </row>
    <row r="11" spans="1:11">
      <c r="A11" s="234">
        <v>3</v>
      </c>
      <c r="B11" s="209" t="s">
        <v>325</v>
      </c>
      <c r="C11" s="363">
        <v>10869322.773369566</v>
      </c>
      <c r="D11" s="734">
        <v>83453555.033369601</v>
      </c>
      <c r="E11" s="734">
        <v>94322877.806739166</v>
      </c>
      <c r="F11" s="734">
        <v>7029034.828181061</v>
      </c>
      <c r="G11" s="734">
        <v>379151.85026630462</v>
      </c>
      <c r="H11" s="734">
        <v>7408186.678447363</v>
      </c>
      <c r="I11" s="734">
        <v>3778989.4503369546</v>
      </c>
      <c r="J11" s="734">
        <v>362086.57520652178</v>
      </c>
      <c r="K11" s="735">
        <v>4141076.0255434806</v>
      </c>
    </row>
    <row r="12" spans="1:11">
      <c r="A12" s="234">
        <v>4</v>
      </c>
      <c r="B12" s="209" t="s">
        <v>326</v>
      </c>
      <c r="C12" s="363">
        <v>0</v>
      </c>
      <c r="D12" s="734">
        <v>0</v>
      </c>
      <c r="E12" s="734">
        <v>0</v>
      </c>
      <c r="F12" s="734">
        <v>0</v>
      </c>
      <c r="G12" s="734">
        <v>0</v>
      </c>
      <c r="H12" s="734">
        <v>0</v>
      </c>
      <c r="I12" s="734">
        <v>0</v>
      </c>
      <c r="J12" s="734">
        <v>0</v>
      </c>
      <c r="K12" s="735">
        <v>0</v>
      </c>
    </row>
    <row r="13" spans="1:11">
      <c r="A13" s="234">
        <v>5</v>
      </c>
      <c r="B13" s="209" t="s">
        <v>327</v>
      </c>
      <c r="C13" s="363">
        <v>2004972.5170652173</v>
      </c>
      <c r="D13" s="734">
        <v>15709.190386521739</v>
      </c>
      <c r="E13" s="734">
        <v>2020681.7074517393</v>
      </c>
      <c r="F13" s="734">
        <v>419248.50224456488</v>
      </c>
      <c r="G13" s="734">
        <v>1570.9190386521732</v>
      </c>
      <c r="H13" s="734">
        <v>420819.42128321738</v>
      </c>
      <c r="I13" s="734">
        <v>128508.12127173925</v>
      </c>
      <c r="J13" s="734">
        <v>785.45951932608659</v>
      </c>
      <c r="K13" s="735">
        <v>129293.58079106525</v>
      </c>
    </row>
    <row r="14" spans="1:11">
      <c r="A14" s="234">
        <v>6</v>
      </c>
      <c r="B14" s="209" t="s">
        <v>342</v>
      </c>
      <c r="C14" s="363">
        <v>0</v>
      </c>
      <c r="D14" s="734">
        <v>0</v>
      </c>
      <c r="E14" s="734">
        <v>0</v>
      </c>
      <c r="F14" s="734">
        <v>0</v>
      </c>
      <c r="G14" s="734">
        <v>0</v>
      </c>
      <c r="H14" s="734">
        <v>0</v>
      </c>
      <c r="I14" s="734">
        <v>0</v>
      </c>
      <c r="J14" s="734">
        <v>0</v>
      </c>
      <c r="K14" s="735">
        <v>0</v>
      </c>
    </row>
    <row r="15" spans="1:11">
      <c r="A15" s="234">
        <v>7</v>
      </c>
      <c r="B15" s="209" t="s">
        <v>329</v>
      </c>
      <c r="C15" s="363">
        <v>2944629.1930434783</v>
      </c>
      <c r="D15" s="734">
        <v>35008579.244250007</v>
      </c>
      <c r="E15" s="734">
        <v>37953208.437293485</v>
      </c>
      <c r="F15" s="734">
        <v>381896.33967391297</v>
      </c>
      <c r="G15" s="734">
        <v>14766314.425338041</v>
      </c>
      <c r="H15" s="734">
        <v>15148210.765011959</v>
      </c>
      <c r="I15" s="734">
        <v>381896.33967391297</v>
      </c>
      <c r="J15" s="734">
        <v>14766314.425338041</v>
      </c>
      <c r="K15" s="735">
        <v>15148210.765011959</v>
      </c>
    </row>
    <row r="16" spans="1:11">
      <c r="A16" s="234">
        <v>8</v>
      </c>
      <c r="B16" s="210" t="s">
        <v>330</v>
      </c>
      <c r="C16" s="363">
        <v>19244341.855652165</v>
      </c>
      <c r="D16" s="734">
        <v>118943911.83094089</v>
      </c>
      <c r="E16" s="734">
        <v>138188253.686593</v>
      </c>
      <c r="F16" s="734">
        <v>8462851.2931147572</v>
      </c>
      <c r="G16" s="734">
        <v>15186163.290223435</v>
      </c>
      <c r="H16" s="734">
        <v>23649014.58333819</v>
      </c>
      <c r="I16" s="734">
        <v>4446947.6603913037</v>
      </c>
      <c r="J16" s="734">
        <v>15138926.484884549</v>
      </c>
      <c r="K16" s="735">
        <v>19585874.145275842</v>
      </c>
    </row>
    <row r="17" spans="1:11">
      <c r="A17" s="232" t="s">
        <v>331</v>
      </c>
      <c r="B17" s="224"/>
      <c r="C17" s="732"/>
      <c r="D17" s="732"/>
      <c r="E17" s="732"/>
      <c r="F17" s="732"/>
      <c r="G17" s="732"/>
      <c r="H17" s="732"/>
      <c r="I17" s="732"/>
      <c r="J17" s="732"/>
      <c r="K17" s="733"/>
    </row>
    <row r="18" spans="1:11">
      <c r="A18" s="234">
        <v>9</v>
      </c>
      <c r="B18" s="209" t="s">
        <v>332</v>
      </c>
      <c r="C18" s="363">
        <v>0</v>
      </c>
      <c r="D18" s="734">
        <v>0</v>
      </c>
      <c r="E18" s="734">
        <v>0</v>
      </c>
      <c r="F18" s="734">
        <v>0</v>
      </c>
      <c r="G18" s="734">
        <v>0</v>
      </c>
      <c r="H18" s="734">
        <v>0</v>
      </c>
      <c r="I18" s="734">
        <v>0</v>
      </c>
      <c r="J18" s="734">
        <v>0</v>
      </c>
      <c r="K18" s="735">
        <v>0</v>
      </c>
    </row>
    <row r="19" spans="1:11">
      <c r="A19" s="234">
        <v>10</v>
      </c>
      <c r="B19" s="209" t="s">
        <v>333</v>
      </c>
      <c r="C19" s="363">
        <v>32962040.421951547</v>
      </c>
      <c r="D19" s="734">
        <v>34059769.104843222</v>
      </c>
      <c r="E19" s="734">
        <v>67021809.526794732</v>
      </c>
      <c r="F19" s="734">
        <v>7949.6660303157605</v>
      </c>
      <c r="G19" s="734">
        <v>256951.37468264977</v>
      </c>
      <c r="H19" s="734">
        <v>264901.04071296536</v>
      </c>
      <c r="I19" s="734">
        <v>7949.6660303157605</v>
      </c>
      <c r="J19" s="734">
        <v>256951.37468264977</v>
      </c>
      <c r="K19" s="735">
        <v>264901.04071296536</v>
      </c>
    </row>
    <row r="20" spans="1:11">
      <c r="A20" s="234">
        <v>11</v>
      </c>
      <c r="B20" s="209" t="s">
        <v>334</v>
      </c>
      <c r="C20" s="363">
        <v>14450774.406195642</v>
      </c>
      <c r="D20" s="734">
        <v>3378419.3396239136</v>
      </c>
      <c r="E20" s="734">
        <v>17829193.745819565</v>
      </c>
      <c r="F20" s="734">
        <v>0</v>
      </c>
      <c r="G20" s="734">
        <v>0</v>
      </c>
      <c r="H20" s="734">
        <v>0</v>
      </c>
      <c r="I20" s="734">
        <v>0</v>
      </c>
      <c r="J20" s="734">
        <v>0</v>
      </c>
      <c r="K20" s="735">
        <v>0</v>
      </c>
    </row>
    <row r="21" spans="1:11" ht="13.5" thickBot="1">
      <c r="A21" s="154">
        <v>12</v>
      </c>
      <c r="B21" s="235" t="s">
        <v>335</v>
      </c>
      <c r="C21" s="736">
        <v>47412814.828147218</v>
      </c>
      <c r="D21" s="737">
        <v>37438188.444467157</v>
      </c>
      <c r="E21" s="736">
        <v>84851003.27261439</v>
      </c>
      <c r="F21" s="737">
        <v>7949.6660303157605</v>
      </c>
      <c r="G21" s="737">
        <v>256951.37468264977</v>
      </c>
      <c r="H21" s="737">
        <v>264901.04071296536</v>
      </c>
      <c r="I21" s="737">
        <v>7949.6660303157605</v>
      </c>
      <c r="J21" s="737">
        <v>256951.37468264977</v>
      </c>
      <c r="K21" s="738">
        <v>264901.04071296536</v>
      </c>
    </row>
    <row r="22" spans="1:11" ht="38.25" customHeight="1" thickBot="1">
      <c r="A22" s="221"/>
      <c r="B22" s="222"/>
      <c r="C22" s="222"/>
      <c r="D22" s="222"/>
      <c r="E22" s="222"/>
      <c r="F22" s="860" t="s">
        <v>336</v>
      </c>
      <c r="G22" s="861"/>
      <c r="H22" s="861"/>
      <c r="I22" s="860" t="s">
        <v>337</v>
      </c>
      <c r="J22" s="861"/>
      <c r="K22" s="862"/>
    </row>
    <row r="23" spans="1:11">
      <c r="A23" s="214">
        <v>13</v>
      </c>
      <c r="B23" s="211" t="s">
        <v>322</v>
      </c>
      <c r="C23" s="220"/>
      <c r="D23" s="220"/>
      <c r="E23" s="220"/>
      <c r="F23" s="739">
        <v>85527603.231739178</v>
      </c>
      <c r="G23" s="739">
        <v>63593294.100518495</v>
      </c>
      <c r="H23" s="739">
        <v>149120897.33225766</v>
      </c>
      <c r="I23" s="739">
        <v>85527603.231739178</v>
      </c>
      <c r="J23" s="739">
        <v>63593294.100518495</v>
      </c>
      <c r="K23" s="740">
        <v>149120897.33225766</v>
      </c>
    </row>
    <row r="24" spans="1:11" ht="13.5" thickBot="1">
      <c r="A24" s="215">
        <v>14</v>
      </c>
      <c r="B24" s="212" t="s">
        <v>338</v>
      </c>
      <c r="C24" s="236"/>
      <c r="D24" s="218"/>
      <c r="E24" s="219"/>
      <c r="F24" s="741">
        <v>8454901.6270844415</v>
      </c>
      <c r="G24" s="741">
        <v>14929211.915540785</v>
      </c>
      <c r="H24" s="741">
        <v>23384113.542625226</v>
      </c>
      <c r="I24" s="741">
        <v>4438997.994360988</v>
      </c>
      <c r="J24" s="741">
        <v>14881975.110201899</v>
      </c>
      <c r="K24" s="742">
        <v>19320973.104562879</v>
      </c>
    </row>
    <row r="25" spans="1:11" ht="13.5" thickBot="1">
      <c r="A25" s="216">
        <v>15</v>
      </c>
      <c r="B25" s="213" t="s">
        <v>339</v>
      </c>
      <c r="C25" s="217"/>
      <c r="D25" s="217"/>
      <c r="E25" s="217"/>
      <c r="F25" s="743">
        <v>10.115741968866907</v>
      </c>
      <c r="G25" s="743">
        <v>4.2596551285014659</v>
      </c>
      <c r="H25" s="743">
        <v>6.3770173310369813</v>
      </c>
      <c r="I25" s="743">
        <v>19.267321891198833</v>
      </c>
      <c r="J25" s="743">
        <v>4.2731756792768714</v>
      </c>
      <c r="K25" s="744">
        <v>7.7180842044151996</v>
      </c>
    </row>
    <row r="28" spans="1:11" ht="38.25">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zoomScale="85" zoomScaleNormal="85" workbookViewId="0">
      <pane xSplit="1" ySplit="5" topLeftCell="B9" activePane="bottomRight" state="frozen"/>
      <selection activeCell="B2" sqref="B2"/>
      <selection pane="topRight" activeCell="B2" sqref="B2"/>
      <selection pane="bottomLeft" activeCell="B2" sqref="B2"/>
      <selection pane="bottomRight" activeCell="B2" sqref="B2"/>
    </sheetView>
  </sheetViews>
  <sheetFormatPr defaultColWidth="9.28515625" defaultRowHeight="15"/>
  <cols>
    <col min="1" max="1" width="10.5703125" style="38" bestFit="1" customWidth="1"/>
    <col min="2" max="2" width="95" style="38" customWidth="1"/>
    <col min="3" max="3" width="12.5703125" style="38" bestFit="1" customWidth="1"/>
    <col min="4" max="4" width="10" style="38" bestFit="1" customWidth="1"/>
    <col min="5" max="5" width="18.28515625" style="38" bestFit="1" customWidth="1"/>
    <col min="6" max="13" width="10.7109375" style="38" customWidth="1"/>
    <col min="14" max="14" width="31" style="38" bestFit="1" customWidth="1"/>
    <col min="15" max="16384" width="9.28515625" style="12"/>
  </cols>
  <sheetData>
    <row r="1" spans="1:14">
      <c r="A1" s="5" t="s">
        <v>108</v>
      </c>
      <c r="B1" s="38" t="str">
        <f>Info!C2</f>
        <v>JSC "VTB Bank (Georgia)"</v>
      </c>
    </row>
    <row r="2" spans="1:14" ht="14.25" customHeight="1">
      <c r="A2" s="38" t="s">
        <v>109</v>
      </c>
      <c r="B2" s="337">
        <f>Info!D2</f>
        <v>45565</v>
      </c>
    </row>
    <row r="3" spans="1:14" ht="14.25" customHeight="1"/>
    <row r="4" spans="1:14" ht="15.75" thickBot="1">
      <c r="A4" s="2" t="s">
        <v>262</v>
      </c>
      <c r="B4" s="55" t="s">
        <v>74</v>
      </c>
    </row>
    <row r="5" spans="1:14" s="25" customFormat="1" ht="12.75">
      <c r="A5" s="119"/>
      <c r="B5" s="120"/>
      <c r="C5" s="121" t="s">
        <v>0</v>
      </c>
      <c r="D5" s="121" t="s">
        <v>1</v>
      </c>
      <c r="E5" s="121" t="s">
        <v>2</v>
      </c>
      <c r="F5" s="121" t="s">
        <v>3</v>
      </c>
      <c r="G5" s="121" t="s">
        <v>4</v>
      </c>
      <c r="H5" s="121" t="s">
        <v>5</v>
      </c>
      <c r="I5" s="121" t="s">
        <v>145</v>
      </c>
      <c r="J5" s="121" t="s">
        <v>146</v>
      </c>
      <c r="K5" s="121" t="s">
        <v>147</v>
      </c>
      <c r="L5" s="121" t="s">
        <v>148</v>
      </c>
      <c r="M5" s="121" t="s">
        <v>149</v>
      </c>
      <c r="N5" s="122" t="s">
        <v>150</v>
      </c>
    </row>
    <row r="6" spans="1:14" ht="45">
      <c r="A6" s="111"/>
      <c r="B6" s="67"/>
      <c r="C6" s="68" t="s">
        <v>84</v>
      </c>
      <c r="D6" s="69" t="s">
        <v>73</v>
      </c>
      <c r="E6" s="70" t="s">
        <v>83</v>
      </c>
      <c r="F6" s="71">
        <v>0</v>
      </c>
      <c r="G6" s="71">
        <v>0.2</v>
      </c>
      <c r="H6" s="71">
        <v>0.35</v>
      </c>
      <c r="I6" s="71">
        <v>0.5</v>
      </c>
      <c r="J6" s="71">
        <v>0.75</v>
      </c>
      <c r="K6" s="71">
        <v>1</v>
      </c>
      <c r="L6" s="71">
        <v>1.5</v>
      </c>
      <c r="M6" s="71">
        <v>2.5</v>
      </c>
      <c r="N6" s="112" t="s">
        <v>74</v>
      </c>
    </row>
    <row r="7" spans="1:14">
      <c r="A7" s="113">
        <v>1</v>
      </c>
      <c r="B7" s="72" t="s">
        <v>75</v>
      </c>
      <c r="C7" s="185">
        <f>SUM(C8:C13)</f>
        <v>0</v>
      </c>
      <c r="D7" s="67"/>
      <c r="E7" s="188">
        <f t="shared" ref="E7:M7" si="0">SUM(E8:E13)</f>
        <v>0</v>
      </c>
      <c r="F7" s="185">
        <f>SUM(F8:F13)</f>
        <v>0</v>
      </c>
      <c r="G7" s="185">
        <f t="shared" si="0"/>
        <v>0</v>
      </c>
      <c r="H7" s="185">
        <f t="shared" si="0"/>
        <v>0</v>
      </c>
      <c r="I7" s="185">
        <f t="shared" si="0"/>
        <v>0</v>
      </c>
      <c r="J7" s="185">
        <f t="shared" si="0"/>
        <v>0</v>
      </c>
      <c r="K7" s="185">
        <f t="shared" si="0"/>
        <v>0</v>
      </c>
      <c r="L7" s="185">
        <f t="shared" si="0"/>
        <v>0</v>
      </c>
      <c r="M7" s="185">
        <f t="shared" si="0"/>
        <v>0</v>
      </c>
      <c r="N7" s="114">
        <f>SUM(N8:N13)</f>
        <v>0</v>
      </c>
    </row>
    <row r="8" spans="1:14">
      <c r="A8" s="113">
        <v>1.1000000000000001</v>
      </c>
      <c r="B8" s="73" t="s">
        <v>76</v>
      </c>
      <c r="C8" s="186">
        <v>0</v>
      </c>
      <c r="D8" s="74">
        <v>0.02</v>
      </c>
      <c r="E8" s="188">
        <f>C8*D8</f>
        <v>0</v>
      </c>
      <c r="F8" s="186"/>
      <c r="G8" s="186"/>
      <c r="H8" s="186"/>
      <c r="I8" s="186"/>
      <c r="J8" s="186"/>
      <c r="K8" s="186"/>
      <c r="L8" s="186"/>
      <c r="M8" s="186"/>
      <c r="N8" s="114">
        <f>SUMPRODUCT($F$6:$M$6,F8:M8)</f>
        <v>0</v>
      </c>
    </row>
    <row r="9" spans="1:14">
      <c r="A9" s="113">
        <v>1.2</v>
      </c>
      <c r="B9" s="73" t="s">
        <v>77</v>
      </c>
      <c r="C9" s="186">
        <v>0</v>
      </c>
      <c r="D9" s="74">
        <v>0.05</v>
      </c>
      <c r="E9" s="188">
        <f>C9*D9</f>
        <v>0</v>
      </c>
      <c r="F9" s="186"/>
      <c r="G9" s="186"/>
      <c r="H9" s="186"/>
      <c r="I9" s="186"/>
      <c r="J9" s="186"/>
      <c r="K9" s="186"/>
      <c r="L9" s="186"/>
      <c r="M9" s="186"/>
      <c r="N9" s="114">
        <f t="shared" ref="N9:N12" si="1">SUMPRODUCT($F$6:$M$6,F9:M9)</f>
        <v>0</v>
      </c>
    </row>
    <row r="10" spans="1:14">
      <c r="A10" s="113">
        <v>1.3</v>
      </c>
      <c r="B10" s="73" t="s">
        <v>78</v>
      </c>
      <c r="C10" s="186">
        <v>0</v>
      </c>
      <c r="D10" s="74">
        <v>0.08</v>
      </c>
      <c r="E10" s="188">
        <f>C10*D10</f>
        <v>0</v>
      </c>
      <c r="F10" s="186"/>
      <c r="G10" s="186"/>
      <c r="H10" s="186"/>
      <c r="I10" s="186"/>
      <c r="J10" s="186"/>
      <c r="K10" s="186"/>
      <c r="L10" s="186"/>
      <c r="M10" s="186"/>
      <c r="N10" s="114">
        <f>SUMPRODUCT($F$6:$M$6,F10:M10)</f>
        <v>0</v>
      </c>
    </row>
    <row r="11" spans="1:14">
      <c r="A11" s="113">
        <v>1.4</v>
      </c>
      <c r="B11" s="73" t="s">
        <v>79</v>
      </c>
      <c r="C11" s="186">
        <v>0</v>
      </c>
      <c r="D11" s="74">
        <v>0.11</v>
      </c>
      <c r="E11" s="188">
        <f>C11*D11</f>
        <v>0</v>
      </c>
      <c r="F11" s="186"/>
      <c r="G11" s="186"/>
      <c r="H11" s="186"/>
      <c r="I11" s="186"/>
      <c r="J11" s="186"/>
      <c r="K11" s="186"/>
      <c r="L11" s="186"/>
      <c r="M11" s="186"/>
      <c r="N11" s="114">
        <f t="shared" si="1"/>
        <v>0</v>
      </c>
    </row>
    <row r="12" spans="1:14">
      <c r="A12" s="113">
        <v>1.5</v>
      </c>
      <c r="B12" s="73" t="s">
        <v>80</v>
      </c>
      <c r="C12" s="186">
        <v>0</v>
      </c>
      <c r="D12" s="74">
        <v>0.14000000000000001</v>
      </c>
      <c r="E12" s="188">
        <f>C12*D12</f>
        <v>0</v>
      </c>
      <c r="F12" s="186"/>
      <c r="G12" s="186"/>
      <c r="H12" s="186"/>
      <c r="I12" s="186"/>
      <c r="J12" s="186"/>
      <c r="K12" s="186"/>
      <c r="L12" s="186"/>
      <c r="M12" s="186"/>
      <c r="N12" s="114">
        <f t="shared" si="1"/>
        <v>0</v>
      </c>
    </row>
    <row r="13" spans="1:14">
      <c r="A13" s="113">
        <v>1.6</v>
      </c>
      <c r="B13" s="75" t="s">
        <v>81</v>
      </c>
      <c r="C13" s="186">
        <v>0</v>
      </c>
      <c r="D13" s="76"/>
      <c r="E13" s="186"/>
      <c r="F13" s="186"/>
      <c r="G13" s="186"/>
      <c r="H13" s="186"/>
      <c r="I13" s="186"/>
      <c r="J13" s="186"/>
      <c r="K13" s="186"/>
      <c r="L13" s="186"/>
      <c r="M13" s="186"/>
      <c r="N13" s="114">
        <f>SUMPRODUCT($F$6:$M$6,F13:M13)</f>
        <v>0</v>
      </c>
    </row>
    <row r="14" spans="1:14">
      <c r="A14" s="113">
        <v>2</v>
      </c>
      <c r="B14" s="77" t="s">
        <v>82</v>
      </c>
      <c r="C14" s="185">
        <f>SUM(C15:C20)</f>
        <v>0</v>
      </c>
      <c r="D14" s="67"/>
      <c r="E14" s="188">
        <f t="shared" ref="E14:M14" si="2">SUM(E15:E20)</f>
        <v>0</v>
      </c>
      <c r="F14" s="186">
        <f t="shared" si="2"/>
        <v>0</v>
      </c>
      <c r="G14" s="186">
        <f t="shared" si="2"/>
        <v>0</v>
      </c>
      <c r="H14" s="186">
        <f t="shared" si="2"/>
        <v>0</v>
      </c>
      <c r="I14" s="186">
        <f t="shared" si="2"/>
        <v>0</v>
      </c>
      <c r="J14" s="186">
        <f t="shared" si="2"/>
        <v>0</v>
      </c>
      <c r="K14" s="186">
        <f t="shared" si="2"/>
        <v>0</v>
      </c>
      <c r="L14" s="186">
        <f t="shared" si="2"/>
        <v>0</v>
      </c>
      <c r="M14" s="186">
        <f t="shared" si="2"/>
        <v>0</v>
      </c>
      <c r="N14" s="114">
        <f>SUM(N15:N20)</f>
        <v>0</v>
      </c>
    </row>
    <row r="15" spans="1:14">
      <c r="A15" s="113">
        <v>2.1</v>
      </c>
      <c r="B15" s="75" t="s">
        <v>76</v>
      </c>
      <c r="C15" s="186"/>
      <c r="D15" s="74">
        <v>5.0000000000000001E-3</v>
      </c>
      <c r="E15" s="188">
        <f>C15*D15</f>
        <v>0</v>
      </c>
      <c r="F15" s="186"/>
      <c r="G15" s="186"/>
      <c r="H15" s="186"/>
      <c r="I15" s="186"/>
      <c r="J15" s="186"/>
      <c r="K15" s="186"/>
      <c r="L15" s="186"/>
      <c r="M15" s="186"/>
      <c r="N15" s="114">
        <f>SUMPRODUCT($F$6:$M$6,F15:M15)</f>
        <v>0</v>
      </c>
    </row>
    <row r="16" spans="1:14">
      <c r="A16" s="113">
        <v>2.2000000000000002</v>
      </c>
      <c r="B16" s="75" t="s">
        <v>77</v>
      </c>
      <c r="C16" s="186"/>
      <c r="D16" s="74">
        <v>0.01</v>
      </c>
      <c r="E16" s="188">
        <f>C16*D16</f>
        <v>0</v>
      </c>
      <c r="F16" s="186"/>
      <c r="G16" s="186"/>
      <c r="H16" s="186"/>
      <c r="I16" s="186"/>
      <c r="J16" s="186"/>
      <c r="K16" s="186"/>
      <c r="L16" s="186"/>
      <c r="M16" s="186"/>
      <c r="N16" s="114">
        <f t="shared" ref="N16:N20" si="3">SUMPRODUCT($F$6:$M$6,F16:M16)</f>
        <v>0</v>
      </c>
    </row>
    <row r="17" spans="1:14">
      <c r="A17" s="113">
        <v>2.2999999999999998</v>
      </c>
      <c r="B17" s="75" t="s">
        <v>78</v>
      </c>
      <c r="C17" s="186"/>
      <c r="D17" s="74">
        <v>0.02</v>
      </c>
      <c r="E17" s="188">
        <f>C17*D17</f>
        <v>0</v>
      </c>
      <c r="F17" s="186"/>
      <c r="G17" s="186"/>
      <c r="H17" s="186"/>
      <c r="I17" s="186"/>
      <c r="J17" s="186"/>
      <c r="K17" s="186"/>
      <c r="L17" s="186"/>
      <c r="M17" s="186"/>
      <c r="N17" s="114">
        <f t="shared" si="3"/>
        <v>0</v>
      </c>
    </row>
    <row r="18" spans="1:14">
      <c r="A18" s="113">
        <v>2.4</v>
      </c>
      <c r="B18" s="75" t="s">
        <v>79</v>
      </c>
      <c r="C18" s="186"/>
      <c r="D18" s="74">
        <v>0.03</v>
      </c>
      <c r="E18" s="188">
        <f>C18*D18</f>
        <v>0</v>
      </c>
      <c r="F18" s="186"/>
      <c r="G18" s="186"/>
      <c r="H18" s="186"/>
      <c r="I18" s="186"/>
      <c r="J18" s="186"/>
      <c r="K18" s="186"/>
      <c r="L18" s="186"/>
      <c r="M18" s="186"/>
      <c r="N18" s="114">
        <f t="shared" si="3"/>
        <v>0</v>
      </c>
    </row>
    <row r="19" spans="1:14">
      <c r="A19" s="113">
        <v>2.5</v>
      </c>
      <c r="B19" s="75" t="s">
        <v>80</v>
      </c>
      <c r="C19" s="186"/>
      <c r="D19" s="74">
        <v>0.04</v>
      </c>
      <c r="E19" s="188">
        <f>C19*D19</f>
        <v>0</v>
      </c>
      <c r="F19" s="186"/>
      <c r="G19" s="186"/>
      <c r="H19" s="186"/>
      <c r="I19" s="186"/>
      <c r="J19" s="186"/>
      <c r="K19" s="186"/>
      <c r="L19" s="186"/>
      <c r="M19" s="186"/>
      <c r="N19" s="114">
        <f t="shared" si="3"/>
        <v>0</v>
      </c>
    </row>
    <row r="20" spans="1:14">
      <c r="A20" s="113">
        <v>2.6</v>
      </c>
      <c r="B20" s="75" t="s">
        <v>81</v>
      </c>
      <c r="C20" s="186"/>
      <c r="D20" s="76"/>
      <c r="E20" s="189"/>
      <c r="F20" s="186"/>
      <c r="G20" s="186"/>
      <c r="H20" s="186"/>
      <c r="I20" s="186"/>
      <c r="J20" s="186"/>
      <c r="K20" s="186"/>
      <c r="L20" s="186"/>
      <c r="M20" s="186"/>
      <c r="N20" s="114">
        <f t="shared" si="3"/>
        <v>0</v>
      </c>
    </row>
    <row r="21" spans="1:14" ht="15.75" thickBot="1">
      <c r="A21" s="115">
        <v>3</v>
      </c>
      <c r="B21" s="116" t="s">
        <v>66</v>
      </c>
      <c r="C21" s="187">
        <f>C14+C7</f>
        <v>0</v>
      </c>
      <c r="D21" s="117"/>
      <c r="E21" s="190">
        <f>E14+E7</f>
        <v>0</v>
      </c>
      <c r="F21" s="191">
        <f>F7+F14</f>
        <v>0</v>
      </c>
      <c r="G21" s="191">
        <f t="shared" ref="G21:L21" si="4">G7+G14</f>
        <v>0</v>
      </c>
      <c r="H21" s="191">
        <f t="shared" si="4"/>
        <v>0</v>
      </c>
      <c r="I21" s="191">
        <f t="shared" si="4"/>
        <v>0</v>
      </c>
      <c r="J21" s="191">
        <f t="shared" si="4"/>
        <v>0</v>
      </c>
      <c r="K21" s="191">
        <f t="shared" si="4"/>
        <v>0</v>
      </c>
      <c r="L21" s="191">
        <f t="shared" si="4"/>
        <v>0</v>
      </c>
      <c r="M21" s="191">
        <f>M7+M14</f>
        <v>0</v>
      </c>
      <c r="N21" s="118">
        <f>N14+N7</f>
        <v>0</v>
      </c>
    </row>
    <row r="22" spans="1:14">
      <c r="E22" s="192"/>
      <c r="F22" s="192"/>
      <c r="G22" s="192"/>
      <c r="H22" s="192"/>
      <c r="I22" s="192"/>
      <c r="J22" s="192"/>
      <c r="K22" s="192"/>
      <c r="L22" s="192"/>
      <c r="M22" s="192"/>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topLeftCell="A4" zoomScale="55" zoomScaleNormal="55" workbookViewId="0">
      <selection activeCell="C6" sqref="C6:C7"/>
    </sheetView>
  </sheetViews>
  <sheetFormatPr defaultRowHeight="15"/>
  <cols>
    <col min="1" max="1" width="11.42578125" customWidth="1"/>
    <col min="2" max="2" width="76.7109375" style="4" customWidth="1"/>
    <col min="3" max="3" width="22.7109375" customWidth="1"/>
  </cols>
  <sheetData>
    <row r="1" spans="1:3">
      <c r="A1" s="227" t="s">
        <v>108</v>
      </c>
      <c r="B1" t="str">
        <f>Info!C2</f>
        <v>JSC "VTB Bank (Georgia)"</v>
      </c>
    </row>
    <row r="2" spans="1:3">
      <c r="A2" s="227" t="s">
        <v>109</v>
      </c>
      <c r="B2" s="337">
        <f>Info!D2</f>
        <v>45565</v>
      </c>
    </row>
    <row r="3" spans="1:3">
      <c r="A3" s="227"/>
      <c r="B3"/>
    </row>
    <row r="4" spans="1:3">
      <c r="A4" s="227" t="s">
        <v>428</v>
      </c>
      <c r="B4" t="s">
        <v>387</v>
      </c>
    </row>
    <row r="5" spans="1:3">
      <c r="A5" s="278"/>
      <c r="B5" s="278" t="s">
        <v>388</v>
      </c>
      <c r="C5" s="290"/>
    </row>
    <row r="6" spans="1:3">
      <c r="A6" s="279">
        <v>1</v>
      </c>
      <c r="B6" s="291" t="s">
        <v>440</v>
      </c>
      <c r="C6" s="719">
        <v>458282127.69919997</v>
      </c>
    </row>
    <row r="7" spans="1:3">
      <c r="A7" s="279">
        <v>2</v>
      </c>
      <c r="B7" s="291" t="s">
        <v>389</v>
      </c>
      <c r="C7" s="719">
        <v>-12735717.34</v>
      </c>
    </row>
    <row r="8" spans="1:3">
      <c r="A8" s="280">
        <v>3</v>
      </c>
      <c r="B8" s="293" t="s">
        <v>390</v>
      </c>
      <c r="C8" s="294">
        <f>C6+C7</f>
        <v>445546410.3592</v>
      </c>
    </row>
    <row r="9" spans="1:3">
      <c r="A9" s="281"/>
      <c r="B9" s="281" t="s">
        <v>391</v>
      </c>
      <c r="C9" s="295"/>
    </row>
    <row r="10" spans="1:3">
      <c r="A10" s="282">
        <v>4</v>
      </c>
      <c r="B10" s="296" t="s">
        <v>392</v>
      </c>
      <c r="C10" s="292"/>
    </row>
    <row r="11" spans="1:3">
      <c r="A11" s="282">
        <v>5</v>
      </c>
      <c r="B11" s="297" t="s">
        <v>393</v>
      </c>
      <c r="C11" s="292"/>
    </row>
    <row r="12" spans="1:3">
      <c r="A12" s="282" t="s">
        <v>394</v>
      </c>
      <c r="B12" s="291" t="s">
        <v>395</v>
      </c>
      <c r="C12" s="294">
        <f>'15. CCR'!E21</f>
        <v>0</v>
      </c>
    </row>
    <row r="13" spans="1:3">
      <c r="A13" s="283">
        <v>6</v>
      </c>
      <c r="B13" s="298" t="s">
        <v>396</v>
      </c>
      <c r="C13" s="292"/>
    </row>
    <row r="14" spans="1:3">
      <c r="A14" s="283">
        <v>7</v>
      </c>
      <c r="B14" s="299" t="s">
        <v>397</v>
      </c>
      <c r="C14" s="292"/>
    </row>
    <row r="15" spans="1:3">
      <c r="A15" s="284">
        <v>8</v>
      </c>
      <c r="B15" s="291" t="s">
        <v>398</v>
      </c>
      <c r="C15" s="292"/>
    </row>
    <row r="16" spans="1:3" ht="24">
      <c r="A16" s="283">
        <v>9</v>
      </c>
      <c r="B16" s="299" t="s">
        <v>399</v>
      </c>
      <c r="C16" s="292"/>
    </row>
    <row r="17" spans="1:3">
      <c r="A17" s="283">
        <v>10</v>
      </c>
      <c r="B17" s="299" t="s">
        <v>400</v>
      </c>
      <c r="C17" s="292"/>
    </row>
    <row r="18" spans="1:3">
      <c r="A18" s="285">
        <v>11</v>
      </c>
      <c r="B18" s="300" t="s">
        <v>401</v>
      </c>
      <c r="C18" s="294">
        <f>SUM(C10:C17)</f>
        <v>0</v>
      </c>
    </row>
    <row r="19" spans="1:3">
      <c r="A19" s="281"/>
      <c r="B19" s="281" t="s">
        <v>402</v>
      </c>
      <c r="C19" s="301"/>
    </row>
    <row r="20" spans="1:3">
      <c r="A20" s="283">
        <v>12</v>
      </c>
      <c r="B20" s="296" t="s">
        <v>403</v>
      </c>
      <c r="C20" s="292"/>
    </row>
    <row r="21" spans="1:3">
      <c r="A21" s="283">
        <v>13</v>
      </c>
      <c r="B21" s="296" t="s">
        <v>404</v>
      </c>
      <c r="C21" s="292"/>
    </row>
    <row r="22" spans="1:3">
      <c r="A22" s="283">
        <v>14</v>
      </c>
      <c r="B22" s="296" t="s">
        <v>405</v>
      </c>
      <c r="C22" s="292"/>
    </row>
    <row r="23" spans="1:3" ht="24">
      <c r="A23" s="283" t="s">
        <v>406</v>
      </c>
      <c r="B23" s="296" t="s">
        <v>407</v>
      </c>
      <c r="C23" s="292"/>
    </row>
    <row r="24" spans="1:3">
      <c r="A24" s="283">
        <v>15</v>
      </c>
      <c r="B24" s="296" t="s">
        <v>408</v>
      </c>
      <c r="C24" s="292"/>
    </row>
    <row r="25" spans="1:3">
      <c r="A25" s="283" t="s">
        <v>409</v>
      </c>
      <c r="B25" s="291" t="s">
        <v>410</v>
      </c>
      <c r="C25" s="292"/>
    </row>
    <row r="26" spans="1:3">
      <c r="A26" s="285">
        <v>16</v>
      </c>
      <c r="B26" s="300" t="s">
        <v>411</v>
      </c>
      <c r="C26" s="294">
        <f>SUM(C20:C25)</f>
        <v>0</v>
      </c>
    </row>
    <row r="27" spans="1:3">
      <c r="A27" s="281"/>
      <c r="B27" s="281" t="s">
        <v>412</v>
      </c>
      <c r="C27" s="295"/>
    </row>
    <row r="28" spans="1:3">
      <c r="A28" s="282">
        <v>17</v>
      </c>
      <c r="B28" s="291" t="s">
        <v>413</v>
      </c>
      <c r="C28" s="292"/>
    </row>
    <row r="29" spans="1:3">
      <c r="A29" s="282">
        <v>18</v>
      </c>
      <c r="B29" s="291" t="s">
        <v>414</v>
      </c>
      <c r="C29" s="292"/>
    </row>
    <row r="30" spans="1:3">
      <c r="A30" s="285">
        <v>19</v>
      </c>
      <c r="B30" s="300" t="s">
        <v>415</v>
      </c>
      <c r="C30" s="294">
        <f>C28+C29</f>
        <v>0</v>
      </c>
    </row>
    <row r="31" spans="1:3">
      <c r="A31" s="286"/>
      <c r="B31" s="281" t="s">
        <v>416</v>
      </c>
      <c r="C31" s="295"/>
    </row>
    <row r="32" spans="1:3">
      <c r="A32" s="282" t="s">
        <v>417</v>
      </c>
      <c r="B32" s="296" t="s">
        <v>418</v>
      </c>
      <c r="C32" s="302"/>
    </row>
    <row r="33" spans="1:3">
      <c r="A33" s="282" t="s">
        <v>419</v>
      </c>
      <c r="B33" s="297" t="s">
        <v>420</v>
      </c>
      <c r="C33" s="302"/>
    </row>
    <row r="34" spans="1:3">
      <c r="A34" s="281"/>
      <c r="B34" s="281" t="s">
        <v>421</v>
      </c>
      <c r="C34" s="295"/>
    </row>
    <row r="35" spans="1:3">
      <c r="A35" s="285">
        <v>20</v>
      </c>
      <c r="B35" s="300" t="s">
        <v>86</v>
      </c>
      <c r="C35" s="294">
        <f>'1. key ratios'!C9</f>
        <v>311822874.34000003</v>
      </c>
    </row>
    <row r="36" spans="1:3">
      <c r="A36" s="285">
        <v>21</v>
      </c>
      <c r="B36" s="300" t="s">
        <v>422</v>
      </c>
      <c r="C36" s="294">
        <f>C8+C18+C26+C30</f>
        <v>445546410.3592</v>
      </c>
    </row>
    <row r="37" spans="1:3">
      <c r="A37" s="287"/>
      <c r="B37" s="287" t="s">
        <v>387</v>
      </c>
      <c r="C37" s="295"/>
    </row>
    <row r="38" spans="1:3">
      <c r="A38" s="285">
        <v>22</v>
      </c>
      <c r="B38" s="300" t="s">
        <v>387</v>
      </c>
      <c r="C38" s="632">
        <f>IFERROR(C35/C36,0)</f>
        <v>0.69986620268943045</v>
      </c>
    </row>
    <row r="39" spans="1:3">
      <c r="A39" s="287"/>
      <c r="B39" s="287" t="s">
        <v>423</v>
      </c>
      <c r="C39" s="295"/>
    </row>
    <row r="40" spans="1:3">
      <c r="A40" s="288" t="s">
        <v>424</v>
      </c>
      <c r="B40" s="296" t="s">
        <v>425</v>
      </c>
      <c r="C40" s="302"/>
    </row>
    <row r="41" spans="1:3">
      <c r="A41" s="289" t="s">
        <v>426</v>
      </c>
      <c r="B41" s="297" t="s">
        <v>427</v>
      </c>
      <c r="C41" s="302"/>
    </row>
    <row r="43" spans="1:3">
      <c r="B43" s="307" t="s">
        <v>441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60" zoomScaleNormal="60" workbookViewId="0">
      <pane xSplit="2" ySplit="6" topLeftCell="C9" activePane="bottomRight" state="frozen"/>
      <selection activeCell="B2" sqref="B2"/>
      <selection pane="topRight" activeCell="B2" sqref="B2"/>
      <selection pane="bottomLeft" activeCell="B2" sqref="B2"/>
      <selection pane="bottomRight" activeCell="C23" sqref="C23:G36"/>
    </sheetView>
  </sheetViews>
  <sheetFormatPr defaultRowHeight="15"/>
  <cols>
    <col min="1" max="1" width="9.85546875" style="227" bestFit="1" customWidth="1"/>
    <col min="2" max="2" width="82.7109375" style="23" customWidth="1"/>
    <col min="3" max="7" width="17.5703125" style="227" customWidth="1"/>
  </cols>
  <sheetData>
    <row r="1" spans="1:7">
      <c r="A1" s="227" t="s">
        <v>108</v>
      </c>
      <c r="B1" s="227" t="str">
        <f>Info!C2</f>
        <v>JSC "VTB Bank (Georgia)"</v>
      </c>
    </row>
    <row r="2" spans="1:7">
      <c r="A2" s="227" t="s">
        <v>109</v>
      </c>
      <c r="B2" s="745">
        <f>Info!D2</f>
        <v>45565</v>
      </c>
    </row>
    <row r="3" spans="1:7">
      <c r="B3" s="337"/>
    </row>
    <row r="4" spans="1:7" ht="15.75" thickBot="1">
      <c r="A4" s="227" t="s">
        <v>488</v>
      </c>
      <c r="B4" s="338" t="s">
        <v>453</v>
      </c>
    </row>
    <row r="5" spans="1:7">
      <c r="A5" s="339"/>
      <c r="B5" s="340"/>
      <c r="C5" s="865" t="s">
        <v>454</v>
      </c>
      <c r="D5" s="865"/>
      <c r="E5" s="865"/>
      <c r="F5" s="865"/>
      <c r="G5" s="866" t="s">
        <v>455</v>
      </c>
    </row>
    <row r="6" spans="1:7">
      <c r="A6" s="341"/>
      <c r="B6" s="342"/>
      <c r="C6" s="343" t="s">
        <v>456</v>
      </c>
      <c r="D6" s="344" t="s">
        <v>457</v>
      </c>
      <c r="E6" s="344" t="s">
        <v>458</v>
      </c>
      <c r="F6" s="344" t="s">
        <v>459</v>
      </c>
      <c r="G6" s="867"/>
    </row>
    <row r="7" spans="1:7">
      <c r="A7" s="345"/>
      <c r="B7" s="346" t="s">
        <v>460</v>
      </c>
      <c r="C7" s="347"/>
      <c r="D7" s="347"/>
      <c r="E7" s="347"/>
      <c r="F7" s="347"/>
      <c r="G7" s="348"/>
    </row>
    <row r="8" spans="1:7">
      <c r="A8" s="349">
        <v>1</v>
      </c>
      <c r="B8" s="350" t="s">
        <v>461</v>
      </c>
      <c r="C8" s="790">
        <v>311822874.34000003</v>
      </c>
      <c r="D8" s="790">
        <v>0</v>
      </c>
      <c r="E8" s="790">
        <v>0</v>
      </c>
      <c r="F8" s="790">
        <v>100375447.60589999</v>
      </c>
      <c r="G8" s="791">
        <v>412198321.94590002</v>
      </c>
    </row>
    <row r="9" spans="1:7">
      <c r="A9" s="349">
        <v>2</v>
      </c>
      <c r="B9" s="353" t="s">
        <v>85</v>
      </c>
      <c r="C9" s="790">
        <v>311822874.34000003</v>
      </c>
      <c r="D9" s="790"/>
      <c r="E9" s="790"/>
      <c r="F9" s="790">
        <v>60977087.326759994</v>
      </c>
      <c r="G9" s="791">
        <v>372799961.66676003</v>
      </c>
    </row>
    <row r="10" spans="1:7">
      <c r="A10" s="349">
        <v>3</v>
      </c>
      <c r="B10" s="353" t="s">
        <v>462</v>
      </c>
      <c r="C10" s="354"/>
      <c r="D10" s="354"/>
      <c r="E10" s="354"/>
      <c r="F10" s="790">
        <v>39398360.279139996</v>
      </c>
      <c r="G10" s="791">
        <v>39398360.279139996</v>
      </c>
    </row>
    <row r="11" spans="1:7" ht="26.25">
      <c r="A11" s="349">
        <v>4</v>
      </c>
      <c r="B11" s="350" t="s">
        <v>463</v>
      </c>
      <c r="C11" s="790">
        <v>3373970.6199999992</v>
      </c>
      <c r="D11" s="790">
        <v>272970</v>
      </c>
      <c r="E11" s="351">
        <v>274342.39</v>
      </c>
      <c r="F11" s="790">
        <v>0</v>
      </c>
      <c r="G11" s="791">
        <v>3725170.0119999992</v>
      </c>
    </row>
    <row r="12" spans="1:7">
      <c r="A12" s="349">
        <v>5</v>
      </c>
      <c r="B12" s="353" t="s">
        <v>464</v>
      </c>
      <c r="C12" s="790">
        <v>3373862.0699999994</v>
      </c>
      <c r="D12" s="792">
        <v>272970</v>
      </c>
      <c r="E12" s="351">
        <v>274342.39</v>
      </c>
      <c r="F12" s="351">
        <v>0</v>
      </c>
      <c r="G12" s="791">
        <v>3725115.7369999993</v>
      </c>
    </row>
    <row r="13" spans="1:7">
      <c r="A13" s="349">
        <v>6</v>
      </c>
      <c r="B13" s="353" t="s">
        <v>465</v>
      </c>
      <c r="C13" s="790">
        <v>108.55</v>
      </c>
      <c r="D13" s="792">
        <v>0</v>
      </c>
      <c r="E13" s="790">
        <v>0</v>
      </c>
      <c r="F13" s="790">
        <v>0</v>
      </c>
      <c r="G13" s="791">
        <v>54.274999999999999</v>
      </c>
    </row>
    <row r="14" spans="1:7">
      <c r="A14" s="349">
        <v>7</v>
      </c>
      <c r="B14" s="350" t="s">
        <v>466</v>
      </c>
      <c r="C14" s="790">
        <v>10153550.362100005</v>
      </c>
      <c r="D14" s="790">
        <v>90036.193299999999</v>
      </c>
      <c r="E14" s="790">
        <v>16137.99</v>
      </c>
      <c r="F14" s="790">
        <v>0</v>
      </c>
      <c r="G14" s="791">
        <v>4941343.9100000029</v>
      </c>
    </row>
    <row r="15" spans="1:7" ht="51.75">
      <c r="A15" s="349">
        <v>8</v>
      </c>
      <c r="B15" s="353" t="s">
        <v>467</v>
      </c>
      <c r="C15" s="790">
        <v>9825266.650000006</v>
      </c>
      <c r="D15" s="792">
        <v>41283.18</v>
      </c>
      <c r="E15" s="790">
        <v>16137.99</v>
      </c>
      <c r="F15" s="790">
        <v>0</v>
      </c>
      <c r="G15" s="791">
        <v>4941343.9100000029</v>
      </c>
    </row>
    <row r="16" spans="1:7" ht="26.25">
      <c r="A16" s="349">
        <v>9</v>
      </c>
      <c r="B16" s="353" t="s">
        <v>468</v>
      </c>
      <c r="C16" s="790">
        <v>328283.7121</v>
      </c>
      <c r="D16" s="792">
        <v>48753.013299999999</v>
      </c>
      <c r="E16" s="790">
        <v>0</v>
      </c>
      <c r="F16" s="790">
        <v>0</v>
      </c>
      <c r="G16" s="791">
        <v>0</v>
      </c>
    </row>
    <row r="17" spans="1:7">
      <c r="A17" s="349">
        <v>10</v>
      </c>
      <c r="B17" s="350" t="s">
        <v>469</v>
      </c>
      <c r="C17" s="351"/>
      <c r="D17" s="355"/>
      <c r="E17" s="351"/>
      <c r="F17" s="351"/>
      <c r="G17" s="352">
        <v>0</v>
      </c>
    </row>
    <row r="18" spans="1:7">
      <c r="A18" s="349">
        <v>11</v>
      </c>
      <c r="B18" s="350" t="s">
        <v>89</v>
      </c>
      <c r="C18" s="790">
        <v>16257400.1655</v>
      </c>
      <c r="D18" s="792">
        <v>3033669.2061000005</v>
      </c>
      <c r="E18" s="790">
        <v>120915.54310000001</v>
      </c>
      <c r="F18" s="790">
        <v>32077.086400000004</v>
      </c>
      <c r="G18" s="352">
        <v>0</v>
      </c>
    </row>
    <row r="19" spans="1:7">
      <c r="A19" s="349">
        <v>12</v>
      </c>
      <c r="B19" s="353" t="s">
        <v>470</v>
      </c>
      <c r="C19" s="354"/>
      <c r="D19" s="355">
        <v>0</v>
      </c>
      <c r="E19" s="351">
        <v>0</v>
      </c>
      <c r="F19" s="351">
        <v>0</v>
      </c>
      <c r="G19" s="352">
        <v>0</v>
      </c>
    </row>
    <row r="20" spans="1:7" ht="26.25">
      <c r="A20" s="349">
        <v>13</v>
      </c>
      <c r="B20" s="353" t="s">
        <v>471</v>
      </c>
      <c r="C20" s="790">
        <v>16257400.1655</v>
      </c>
      <c r="D20" s="790">
        <v>3033669.2061000005</v>
      </c>
      <c r="E20" s="790">
        <v>120915.54310000001</v>
      </c>
      <c r="F20" s="790">
        <v>32077.086400000004</v>
      </c>
      <c r="G20" s="352">
        <v>0</v>
      </c>
    </row>
    <row r="21" spans="1:7">
      <c r="A21" s="356">
        <v>14</v>
      </c>
      <c r="B21" s="357" t="s">
        <v>472</v>
      </c>
      <c r="C21" s="354"/>
      <c r="D21" s="354"/>
      <c r="E21" s="354"/>
      <c r="F21" s="354"/>
      <c r="G21" s="358">
        <f>SUM(G8,G11,G14,G17,G18)</f>
        <v>420864835.86790007</v>
      </c>
    </row>
    <row r="22" spans="1:7">
      <c r="A22" s="359"/>
      <c r="B22" s="375" t="s">
        <v>473</v>
      </c>
      <c r="C22" s="360"/>
      <c r="D22" s="361"/>
      <c r="E22" s="360"/>
      <c r="F22" s="360"/>
      <c r="G22" s="362"/>
    </row>
    <row r="23" spans="1:7">
      <c r="A23" s="349">
        <v>15</v>
      </c>
      <c r="B23" s="350" t="s">
        <v>322</v>
      </c>
      <c r="C23" s="790">
        <v>167023436.4061</v>
      </c>
      <c r="D23" s="792">
        <v>0</v>
      </c>
      <c r="E23" s="790">
        <v>0</v>
      </c>
      <c r="F23" s="790">
        <v>0</v>
      </c>
      <c r="G23" s="352">
        <v>5807.4913450000004</v>
      </c>
    </row>
    <row r="24" spans="1:7">
      <c r="A24" s="349">
        <v>16</v>
      </c>
      <c r="B24" s="350" t="s">
        <v>474</v>
      </c>
      <c r="C24" s="790">
        <v>0</v>
      </c>
      <c r="D24" s="792">
        <v>12882241.298409</v>
      </c>
      <c r="E24" s="790">
        <v>16320128.380481994</v>
      </c>
      <c r="F24" s="790">
        <v>42934795.442346014</v>
      </c>
      <c r="G24" s="352">
        <v>50240527.073676206</v>
      </c>
    </row>
    <row r="25" spans="1:7" ht="26.25">
      <c r="A25" s="349">
        <v>17</v>
      </c>
      <c r="B25" s="353" t="s">
        <v>475</v>
      </c>
      <c r="C25" s="351">
        <v>0</v>
      </c>
      <c r="D25" s="355">
        <v>0</v>
      </c>
      <c r="E25" s="351">
        <v>0</v>
      </c>
      <c r="F25" s="351">
        <v>0</v>
      </c>
      <c r="G25" s="352">
        <v>0</v>
      </c>
    </row>
    <row r="26" spans="1:7" ht="39">
      <c r="A26" s="349">
        <v>18</v>
      </c>
      <c r="B26" s="353" t="s">
        <v>476</v>
      </c>
      <c r="C26" s="790">
        <v>0</v>
      </c>
      <c r="D26" s="792">
        <v>0</v>
      </c>
      <c r="E26" s="790">
        <v>0</v>
      </c>
      <c r="F26" s="790">
        <v>316289.36420499999</v>
      </c>
      <c r="G26" s="791">
        <v>316289.36420499999</v>
      </c>
    </row>
    <row r="27" spans="1:7">
      <c r="A27" s="349">
        <v>19</v>
      </c>
      <c r="B27" s="353" t="s">
        <v>477</v>
      </c>
      <c r="C27" s="790">
        <v>0</v>
      </c>
      <c r="D27" s="792">
        <v>12691645.531863</v>
      </c>
      <c r="E27" s="790">
        <v>16123997.149120994</v>
      </c>
      <c r="F27" s="790">
        <v>38105119.596170008</v>
      </c>
      <c r="G27" s="791">
        <v>46797172.99723655</v>
      </c>
    </row>
    <row r="28" spans="1:7">
      <c r="A28" s="349">
        <v>20</v>
      </c>
      <c r="B28" s="364" t="s">
        <v>478</v>
      </c>
      <c r="C28" s="790">
        <v>0</v>
      </c>
      <c r="D28" s="792">
        <v>0</v>
      </c>
      <c r="E28" s="790">
        <v>0</v>
      </c>
      <c r="F28" s="790">
        <v>0</v>
      </c>
      <c r="G28" s="791">
        <v>0</v>
      </c>
    </row>
    <row r="29" spans="1:7">
      <c r="A29" s="349">
        <v>21</v>
      </c>
      <c r="B29" s="353" t="s">
        <v>479</v>
      </c>
      <c r="C29" s="790">
        <v>0</v>
      </c>
      <c r="D29" s="792">
        <v>190595.76654600012</v>
      </c>
      <c r="E29" s="790">
        <v>196131.23136099995</v>
      </c>
      <c r="F29" s="790">
        <v>4513386.4819710013</v>
      </c>
      <c r="G29" s="791">
        <v>3127064.7122346521</v>
      </c>
    </row>
    <row r="30" spans="1:7">
      <c r="A30" s="349">
        <v>22</v>
      </c>
      <c r="B30" s="364" t="s">
        <v>478</v>
      </c>
      <c r="C30" s="790">
        <v>0</v>
      </c>
      <c r="D30" s="792">
        <v>190595.76654600012</v>
      </c>
      <c r="E30" s="790">
        <v>196131.23136099995</v>
      </c>
      <c r="F30" s="790">
        <v>4513386.4819710013</v>
      </c>
      <c r="G30" s="791">
        <v>3127064.7122346521</v>
      </c>
    </row>
    <row r="31" spans="1:7" ht="26.25">
      <c r="A31" s="349">
        <v>23</v>
      </c>
      <c r="B31" s="353" t="s">
        <v>480</v>
      </c>
      <c r="C31" s="790">
        <v>0</v>
      </c>
      <c r="D31" s="792">
        <v>0</v>
      </c>
      <c r="E31" s="790">
        <v>0</v>
      </c>
      <c r="F31" s="790">
        <v>0</v>
      </c>
      <c r="G31" s="791">
        <v>0</v>
      </c>
    </row>
    <row r="32" spans="1:7">
      <c r="A32" s="349">
        <v>24</v>
      </c>
      <c r="B32" s="350" t="s">
        <v>481</v>
      </c>
      <c r="C32" s="790">
        <v>0</v>
      </c>
      <c r="D32" s="792">
        <v>0</v>
      </c>
      <c r="E32" s="790">
        <v>0</v>
      </c>
      <c r="F32" s="790">
        <v>0</v>
      </c>
      <c r="G32" s="791">
        <v>0</v>
      </c>
    </row>
    <row r="33" spans="1:7">
      <c r="A33" s="349">
        <v>25</v>
      </c>
      <c r="B33" s="350" t="s">
        <v>99</v>
      </c>
      <c r="C33" s="790">
        <v>212167950.89499998</v>
      </c>
      <c r="D33" s="790">
        <v>5883357.9039369998</v>
      </c>
      <c r="E33" s="790">
        <v>919.41179299999999</v>
      </c>
      <c r="F33" s="790">
        <v>1530.4117919999999</v>
      </c>
      <c r="G33" s="352">
        <v>215111619.96465701</v>
      </c>
    </row>
    <row r="34" spans="1:7">
      <c r="A34" s="349">
        <v>26</v>
      </c>
      <c r="B34" s="353" t="s">
        <v>482</v>
      </c>
      <c r="C34" s="354"/>
      <c r="D34" s="355">
        <v>0</v>
      </c>
      <c r="E34" s="351">
        <v>0</v>
      </c>
      <c r="F34" s="351">
        <v>0</v>
      </c>
      <c r="G34" s="352">
        <v>0</v>
      </c>
    </row>
    <row r="35" spans="1:7">
      <c r="A35" s="349">
        <v>27</v>
      </c>
      <c r="B35" s="353" t="s">
        <v>483</v>
      </c>
      <c r="C35" s="790">
        <v>212167950.89499998</v>
      </c>
      <c r="D35" s="792">
        <v>5883357.9039369998</v>
      </c>
      <c r="E35" s="790">
        <v>919.41179299999999</v>
      </c>
      <c r="F35" s="790">
        <v>1530.4117919999999</v>
      </c>
      <c r="G35" s="791">
        <v>215111619.96465701</v>
      </c>
    </row>
    <row r="36" spans="1:7">
      <c r="A36" s="349">
        <v>28</v>
      </c>
      <c r="B36" s="350" t="s">
        <v>484</v>
      </c>
      <c r="C36" s="790">
        <v>0</v>
      </c>
      <c r="D36" s="792">
        <v>0</v>
      </c>
      <c r="E36" s="790">
        <v>15801.223309999999</v>
      </c>
      <c r="F36" s="790">
        <v>200000</v>
      </c>
      <c r="G36" s="791">
        <v>31580.122330999999</v>
      </c>
    </row>
    <row r="37" spans="1:7">
      <c r="A37" s="356">
        <v>29</v>
      </c>
      <c r="B37" s="357" t="s">
        <v>485</v>
      </c>
      <c r="C37" s="354"/>
      <c r="D37" s="354"/>
      <c r="E37" s="354"/>
      <c r="F37" s="354"/>
      <c r="G37" s="358">
        <f>SUM(G23:G24,G32:G33,G36)</f>
        <v>265389534.65200922</v>
      </c>
    </row>
    <row r="38" spans="1:7">
      <c r="A38" s="345"/>
      <c r="B38" s="365"/>
      <c r="C38" s="366"/>
      <c r="D38" s="366"/>
      <c r="E38" s="366"/>
      <c r="F38" s="366"/>
      <c r="G38" s="367"/>
    </row>
    <row r="39" spans="1:7" ht="15.75" thickBot="1">
      <c r="A39" s="368">
        <v>30</v>
      </c>
      <c r="B39" s="369" t="s">
        <v>453</v>
      </c>
      <c r="C39" s="236"/>
      <c r="D39" s="218"/>
      <c r="E39" s="218"/>
      <c r="F39" s="370"/>
      <c r="G39" s="371">
        <f>IFERROR(G21/G37,0)</f>
        <v>1.5858381017916066</v>
      </c>
    </row>
    <row r="42" spans="1:7" ht="39">
      <c r="B42" s="23" t="s">
        <v>486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71"/>
  <sheetViews>
    <sheetView zoomScale="85" zoomScaleNormal="85" workbookViewId="0">
      <pane xSplit="1" ySplit="5" topLeftCell="B6" activePane="bottomRight" state="frozen"/>
      <selection pane="topRight" activeCell="B1" sqref="B1"/>
      <selection pane="bottomLeft" activeCell="A6" sqref="A6"/>
      <selection pane="bottomRight" activeCell="C4" sqref="C4"/>
    </sheetView>
  </sheetViews>
  <sheetFormatPr defaultRowHeight="15.75"/>
  <cols>
    <col min="1" max="1" width="9.5703125" style="19" bestFit="1" customWidth="1"/>
    <col min="2" max="2" width="88.28515625" style="16" customWidth="1"/>
    <col min="3" max="3" width="12.7109375" style="16" customWidth="1"/>
    <col min="4" max="7" width="12.7109375" style="2" customWidth="1"/>
    <col min="8" max="8" width="6.7109375" customWidth="1"/>
    <col min="9" max="10" width="12.28515625" hidden="1" customWidth="1"/>
    <col min="11" max="11" width="63.28515625" customWidth="1"/>
    <col min="12" max="12" width="6.7109375" customWidth="1"/>
  </cols>
  <sheetData>
    <row r="1" spans="1:12">
      <c r="A1" s="17" t="s">
        <v>108</v>
      </c>
      <c r="B1" s="306" t="str">
        <f>Info!C2</f>
        <v>JSC "VTB Bank (Georgia)"</v>
      </c>
    </row>
    <row r="2" spans="1:12">
      <c r="A2" s="17" t="s">
        <v>109</v>
      </c>
      <c r="B2" s="337">
        <f>Info!D2</f>
        <v>45565</v>
      </c>
      <c r="C2" s="29"/>
      <c r="D2" s="18"/>
      <c r="E2" s="18"/>
      <c r="F2" s="18"/>
      <c r="G2" s="18"/>
      <c r="H2" s="1"/>
    </row>
    <row r="3" spans="1:12" ht="16.5" thickBot="1">
      <c r="A3" s="17"/>
      <c r="C3" s="29"/>
      <c r="D3" s="18"/>
      <c r="E3" s="18"/>
      <c r="F3" s="18"/>
      <c r="G3" s="18"/>
      <c r="H3" s="1"/>
    </row>
    <row r="4" spans="1:12" ht="69" customHeight="1" thickBot="1">
      <c r="A4" s="39" t="s">
        <v>252</v>
      </c>
      <c r="B4" s="150" t="s">
        <v>139</v>
      </c>
      <c r="C4" s="151"/>
      <c r="D4" s="807" t="s">
        <v>936</v>
      </c>
      <c r="E4" s="808"/>
      <c r="F4" s="808"/>
      <c r="G4" s="809"/>
      <c r="H4" s="1"/>
      <c r="J4" s="793"/>
      <c r="K4" s="799" t="s">
        <v>937</v>
      </c>
      <c r="L4" s="455"/>
    </row>
    <row r="5" spans="1:12" ht="15">
      <c r="A5" s="204" t="s">
        <v>25</v>
      </c>
      <c r="B5" s="205"/>
      <c r="C5" s="327" t="str">
        <f>INT((MONTH($B$2))/3)&amp;"Q"&amp;"-"&amp;YEAR($B$2)</f>
        <v>3Q-2024</v>
      </c>
      <c r="D5" s="327" t="str">
        <f>IF(INT(MONTH($B$2))=3, "4"&amp;"Q"&amp;"-"&amp;YEAR($B$2)-1, IF(INT(MONTH($B$2))=6, "1"&amp;"Q"&amp;"-"&amp;YEAR($B$2), IF(INT(MONTH($B$2))=9, "2"&amp;"Q"&amp;"-"&amp;YEAR($B$2),IF(INT(MONTH($B$2))=12, "3"&amp;"Q"&amp;"-"&amp;YEAR($B$2), 0))))</f>
        <v>2Q-2024</v>
      </c>
      <c r="E5" s="327" t="str">
        <f>IF(INT(MONTH($B$2))=3, "3"&amp;"Q"&amp;"-"&amp;YEAR($B$2)-1, IF(INT(MONTH($B$2))=6, "4"&amp;"Q"&amp;"-"&amp;YEAR($B$2)-1, IF(INT(MONTH($B$2))=9, "1"&amp;"Q"&amp;"-"&amp;YEAR($B$2),IF(INT(MONTH($B$2))=12, "2"&amp;"Q"&amp;"-"&amp;YEAR($B$2), 0))))</f>
        <v>1Q-2024</v>
      </c>
      <c r="F5" s="327" t="str">
        <f>IF(INT(MONTH($B$2))=3, "2"&amp;"Q"&amp;"-"&amp;YEAR($B$2)-1, IF(INT(MONTH($B$2))=6, "3"&amp;"Q"&amp;"-"&amp;YEAR($B$2)-1, IF(INT(MONTH($B$2))=9, "4"&amp;"Q"&amp;"-"&amp;YEAR($B$2)-1,IF(INT(MONTH($B$2))=12, "1"&amp;"Q"&amp;"-"&amp;YEAR($B$2), 0))))</f>
        <v>4Q-2023</v>
      </c>
      <c r="G5" s="328" t="str">
        <f>IF(INT(MONTH($B$2))=3, "1"&amp;"Q"&amp;"-"&amp;YEAR($B$2)-1, IF(INT(MONTH($B$2))=6, "2"&amp;"Q"&amp;"-"&amp;YEAR($B$2)-1, IF(INT(MONTH($B$2))=9, "3"&amp;"Q"&amp;"-"&amp;YEAR($B$2)-1,IF(INT(MONTH($B$2))=12, "4"&amp;"Q"&amp;"-"&amp;YEAR($B$2)-1, 0))))</f>
        <v>3Q-2023</v>
      </c>
      <c r="I5" s="615" t="str">
        <f>D5</f>
        <v>2Q-2024</v>
      </c>
      <c r="J5" s="327" t="str">
        <f t="shared" ref="J5" si="0">E5</f>
        <v>1Q-2024</v>
      </c>
      <c r="K5" s="327" t="str">
        <f>G5</f>
        <v>3Q-2023</v>
      </c>
    </row>
    <row r="6" spans="1:12" ht="15">
      <c r="A6" s="329"/>
      <c r="B6" s="330" t="s">
        <v>106</v>
      </c>
      <c r="C6" s="206"/>
      <c r="D6" s="206"/>
      <c r="E6" s="206"/>
      <c r="F6" s="206"/>
      <c r="G6" s="207"/>
      <c r="I6" s="616"/>
      <c r="J6" s="206"/>
      <c r="K6" s="206"/>
    </row>
    <row r="7" spans="1:12" ht="15">
      <c r="A7" s="329"/>
      <c r="B7" s="331" t="s">
        <v>110</v>
      </c>
      <c r="C7" s="206"/>
      <c r="D7" s="206"/>
      <c r="E7" s="206"/>
      <c r="F7" s="206"/>
      <c r="G7" s="207"/>
      <c r="I7" s="616"/>
      <c r="J7" s="206"/>
      <c r="K7" s="206"/>
    </row>
    <row r="8" spans="1:12" ht="15">
      <c r="A8" s="311">
        <v>1</v>
      </c>
      <c r="B8" s="312" t="s">
        <v>22</v>
      </c>
      <c r="C8" s="688">
        <v>261844574.34</v>
      </c>
      <c r="D8" s="688">
        <v>247437189.92262694</v>
      </c>
      <c r="E8" s="688">
        <v>263088107.66896904</v>
      </c>
      <c r="F8" s="688">
        <v>261350407.10290265</v>
      </c>
      <c r="G8" s="688"/>
      <c r="H8" s="679"/>
      <c r="I8" s="688"/>
      <c r="J8" s="688"/>
      <c r="K8" s="688">
        <v>208608730</v>
      </c>
    </row>
    <row r="9" spans="1:12" ht="15">
      <c r="A9" s="311">
        <v>2</v>
      </c>
      <c r="B9" s="312" t="s">
        <v>86</v>
      </c>
      <c r="C9" s="688">
        <v>311822874.34000003</v>
      </c>
      <c r="D9" s="688">
        <v>303591589.92262697</v>
      </c>
      <c r="E9" s="688">
        <v>312576807.66896904</v>
      </c>
      <c r="F9" s="688">
        <v>312207607.10290265</v>
      </c>
      <c r="G9" s="688"/>
      <c r="H9" s="679"/>
      <c r="I9" s="688"/>
      <c r="J9" s="688"/>
      <c r="K9" s="688">
        <v>255231230</v>
      </c>
    </row>
    <row r="10" spans="1:12" ht="15">
      <c r="A10" s="311">
        <v>3</v>
      </c>
      <c r="B10" s="312" t="s">
        <v>85</v>
      </c>
      <c r="C10" s="688">
        <v>372799961.66676003</v>
      </c>
      <c r="D10" s="688">
        <v>377369223.82524699</v>
      </c>
      <c r="E10" s="688">
        <v>376237383.32272905</v>
      </c>
      <c r="F10" s="688">
        <v>376230252.30290264</v>
      </c>
      <c r="G10" s="688"/>
      <c r="H10" s="679"/>
      <c r="I10" s="688"/>
      <c r="J10" s="688"/>
      <c r="K10" s="688">
        <v>317586383.77606601</v>
      </c>
    </row>
    <row r="11" spans="1:12" ht="15">
      <c r="A11" s="311">
        <v>4</v>
      </c>
      <c r="B11" s="312" t="s">
        <v>445</v>
      </c>
      <c r="C11" s="688">
        <v>126379579.22092749</v>
      </c>
      <c r="D11" s="688">
        <v>127023445.01725176</v>
      </c>
      <c r="E11" s="688">
        <v>123740282.60855596</v>
      </c>
      <c r="F11" s="688">
        <v>117804821.99894096</v>
      </c>
      <c r="G11" s="688"/>
      <c r="H11" s="679"/>
      <c r="I11" s="688"/>
      <c r="J11" s="688"/>
      <c r="K11" s="688">
        <v>60753126.281547755</v>
      </c>
    </row>
    <row r="12" spans="1:12" ht="15">
      <c r="A12" s="311">
        <v>5</v>
      </c>
      <c r="B12" s="312" t="s">
        <v>446</v>
      </c>
      <c r="C12" s="688">
        <v>143758813.82397807</v>
      </c>
      <c r="D12" s="688">
        <v>144772864.26428571</v>
      </c>
      <c r="E12" s="688">
        <v>141011028.44011056</v>
      </c>
      <c r="F12" s="688">
        <v>135106224.50536209</v>
      </c>
      <c r="G12" s="688"/>
      <c r="H12" s="679"/>
      <c r="I12" s="688"/>
      <c r="J12" s="688"/>
      <c r="K12" s="688">
        <v>76465254.170579702</v>
      </c>
    </row>
    <row r="13" spans="1:12" ht="15">
      <c r="A13" s="311">
        <v>6</v>
      </c>
      <c r="B13" s="312" t="s">
        <v>447</v>
      </c>
      <c r="C13" s="688">
        <v>166780075.28750151</v>
      </c>
      <c r="D13" s="688">
        <v>168284008.10138208</v>
      </c>
      <c r="E13" s="688">
        <v>163888693.74453959</v>
      </c>
      <c r="F13" s="688">
        <v>158025134.33730406</v>
      </c>
      <c r="G13" s="688"/>
      <c r="H13" s="679"/>
      <c r="I13" s="688"/>
      <c r="J13" s="688"/>
      <c r="K13" s="688">
        <v>97286491.316493705</v>
      </c>
    </row>
    <row r="14" spans="1:12" ht="15">
      <c r="A14" s="329"/>
      <c r="B14" s="330" t="s">
        <v>449</v>
      </c>
      <c r="C14" s="682"/>
      <c r="D14" s="682"/>
      <c r="E14" s="682"/>
      <c r="F14" s="682"/>
      <c r="G14" s="682"/>
      <c r="H14" s="679"/>
      <c r="I14" s="682"/>
      <c r="J14" s="682"/>
      <c r="K14" s="682"/>
    </row>
    <row r="15" spans="1:12" ht="22.35" customHeight="1">
      <c r="A15" s="311">
        <v>7</v>
      </c>
      <c r="B15" s="312" t="s">
        <v>448</v>
      </c>
      <c r="C15" s="689">
        <v>584620546.1363045</v>
      </c>
      <c r="D15" s="689">
        <v>595250345.79651475</v>
      </c>
      <c r="E15" s="689">
        <v>581398999.05699706</v>
      </c>
      <c r="F15" s="689">
        <v>584844829.27359998</v>
      </c>
      <c r="G15" s="689"/>
      <c r="H15" s="679"/>
      <c r="I15" s="689"/>
      <c r="J15" s="689"/>
      <c r="K15" s="689">
        <v>560061709.3135066</v>
      </c>
    </row>
    <row r="16" spans="1:12" ht="15">
      <c r="A16" s="329"/>
      <c r="B16" s="330" t="s">
        <v>452</v>
      </c>
      <c r="C16" s="682"/>
      <c r="D16" s="682"/>
      <c r="E16" s="682"/>
      <c r="F16" s="682"/>
      <c r="G16" s="682"/>
      <c r="H16" s="679"/>
      <c r="I16" s="682"/>
      <c r="J16" s="682"/>
      <c r="K16" s="682"/>
    </row>
    <row r="17" spans="1:11" s="3" customFormat="1" ht="15">
      <c r="A17" s="311"/>
      <c r="B17" s="331" t="s">
        <v>435</v>
      </c>
      <c r="C17" s="682"/>
      <c r="D17" s="682"/>
      <c r="E17" s="682"/>
      <c r="F17" s="682"/>
      <c r="G17" s="682"/>
      <c r="H17" s="680"/>
      <c r="I17" s="682"/>
      <c r="J17" s="682"/>
      <c r="K17" s="682"/>
    </row>
    <row r="18" spans="1:11" ht="15">
      <c r="A18" s="310">
        <v>8</v>
      </c>
      <c r="B18" s="332" t="s">
        <v>443</v>
      </c>
      <c r="C18" s="690">
        <v>0.44788808068841091</v>
      </c>
      <c r="D18" s="690">
        <v>0.42324408808057334</v>
      </c>
      <c r="E18" s="690">
        <v>0.45250870416991784</v>
      </c>
      <c r="F18" s="690">
        <v>0.44687136488410101</v>
      </c>
      <c r="G18" s="690"/>
      <c r="H18" s="679"/>
      <c r="I18" s="690"/>
      <c r="J18" s="690"/>
      <c r="K18" s="690">
        <v>0.37247454437779959</v>
      </c>
    </row>
    <row r="19" spans="1:11" ht="15" customHeight="1">
      <c r="A19" s="310">
        <v>9</v>
      </c>
      <c r="B19" s="332" t="s">
        <v>442</v>
      </c>
      <c r="C19" s="690">
        <v>0.53337652328643681</v>
      </c>
      <c r="D19" s="690">
        <v>0.51929681898631819</v>
      </c>
      <c r="E19" s="690">
        <v>0.53762873375419373</v>
      </c>
      <c r="F19" s="690">
        <v>0.53382981515058725</v>
      </c>
      <c r="G19" s="690"/>
      <c r="H19" s="679"/>
      <c r="I19" s="690"/>
      <c r="J19" s="690"/>
      <c r="K19" s="690">
        <v>0.45571983543179312</v>
      </c>
    </row>
    <row r="20" spans="1:11" ht="15">
      <c r="A20" s="310">
        <v>10</v>
      </c>
      <c r="B20" s="332" t="s">
        <v>444</v>
      </c>
      <c r="C20" s="690">
        <v>0.63767851494538741</v>
      </c>
      <c r="D20" s="690">
        <v>0.64549428910639628</v>
      </c>
      <c r="E20" s="690">
        <v>0.64712423642450212</v>
      </c>
      <c r="F20" s="690">
        <v>0.64329927097106299</v>
      </c>
      <c r="G20" s="690"/>
      <c r="H20" s="679"/>
      <c r="I20" s="690"/>
      <c r="J20" s="690"/>
      <c r="K20" s="690">
        <v>0.56705605560027705</v>
      </c>
    </row>
    <row r="21" spans="1:11" ht="15">
      <c r="A21" s="310">
        <v>11</v>
      </c>
      <c r="B21" s="312" t="s">
        <v>445</v>
      </c>
      <c r="C21" s="690">
        <v>0.21617368745617443</v>
      </c>
      <c r="D21" s="690">
        <v>0.21727502712098695</v>
      </c>
      <c r="E21" s="690">
        <v>0.21283194984727719</v>
      </c>
      <c r="F21" s="690">
        <v>0.20142919301391299</v>
      </c>
      <c r="G21" s="690"/>
      <c r="H21" s="679"/>
      <c r="I21" s="690"/>
      <c r="J21" s="690"/>
      <c r="K21" s="690">
        <v>0.10847577199308207</v>
      </c>
    </row>
    <row r="22" spans="1:11" ht="15">
      <c r="A22" s="310">
        <v>12</v>
      </c>
      <c r="B22" s="312" t="s">
        <v>446</v>
      </c>
      <c r="C22" s="690">
        <v>0.24590106313242821</v>
      </c>
      <c r="D22" s="690">
        <v>0.24763560778196095</v>
      </c>
      <c r="E22" s="690">
        <v>0.24253744617521544</v>
      </c>
      <c r="F22" s="690">
        <v>0.23101208686955355</v>
      </c>
      <c r="G22" s="690"/>
      <c r="H22" s="679"/>
      <c r="I22" s="690"/>
      <c r="J22" s="690"/>
      <c r="K22" s="690">
        <v>0.1365300517764492</v>
      </c>
    </row>
    <row r="23" spans="1:11" ht="15">
      <c r="A23" s="310">
        <v>13</v>
      </c>
      <c r="B23" s="312" t="s">
        <v>447</v>
      </c>
      <c r="C23" s="690">
        <v>0.28527918902223576</v>
      </c>
      <c r="D23" s="690">
        <v>0.28785168296522134</v>
      </c>
      <c r="E23" s="690">
        <v>0.28188678344881857</v>
      </c>
      <c r="F23" s="690">
        <v>0.27020010510065962</v>
      </c>
      <c r="G23" s="690"/>
      <c r="H23" s="679"/>
      <c r="I23" s="690"/>
      <c r="J23" s="690"/>
      <c r="K23" s="690">
        <v>0.17370673570193226</v>
      </c>
    </row>
    <row r="24" spans="1:11" ht="15">
      <c r="A24" s="329"/>
      <c r="B24" s="330" t="s">
        <v>6</v>
      </c>
      <c r="C24" s="684"/>
      <c r="D24" s="684"/>
      <c r="E24" s="684"/>
      <c r="F24" s="684"/>
      <c r="G24" s="684"/>
      <c r="H24" s="679"/>
      <c r="I24" s="684"/>
      <c r="J24" s="684"/>
      <c r="K24" s="684"/>
    </row>
    <row r="25" spans="1:11" ht="15" customHeight="1">
      <c r="A25" s="333">
        <v>14</v>
      </c>
      <c r="B25" s="334" t="s">
        <v>7</v>
      </c>
      <c r="C25" s="691">
        <v>3.7653832321756439E-2</v>
      </c>
      <c r="D25" s="691">
        <v>3.8195373702473369E-2</v>
      </c>
      <c r="E25" s="691">
        <v>3.8681533096585681E-2</v>
      </c>
      <c r="F25" s="691">
        <v>4.6241633862009746E-2</v>
      </c>
      <c r="G25" s="691"/>
      <c r="H25" s="679"/>
      <c r="I25" s="691"/>
      <c r="J25" s="691"/>
      <c r="K25" s="691">
        <v>3.4298420495407711E-2</v>
      </c>
    </row>
    <row r="26" spans="1:11" ht="15">
      <c r="A26" s="333">
        <v>15</v>
      </c>
      <c r="B26" s="334" t="s">
        <v>8</v>
      </c>
      <c r="C26" s="691">
        <v>2.0960224051435192E-2</v>
      </c>
      <c r="D26" s="691">
        <v>2.0980598725081227E-2</v>
      </c>
      <c r="E26" s="691">
        <v>2.0416417135360448E-2</v>
      </c>
      <c r="F26" s="691">
        <v>2.1731624257532282E-2</v>
      </c>
      <c r="G26" s="691"/>
      <c r="H26" s="679"/>
      <c r="I26" s="691"/>
      <c r="J26" s="691"/>
      <c r="K26" s="691">
        <v>2.4802328620101656E-2</v>
      </c>
    </row>
    <row r="27" spans="1:11" ht="15">
      <c r="A27" s="333">
        <v>16</v>
      </c>
      <c r="B27" s="334" t="s">
        <v>9</v>
      </c>
      <c r="C27" s="691">
        <v>-5.0625280536869509E-3</v>
      </c>
      <c r="D27" s="691">
        <v>3.1498846802302825E-2</v>
      </c>
      <c r="E27" s="691">
        <v>3.5689587091770314E-3</v>
      </c>
      <c r="F27" s="691">
        <v>8.2191592824971543E-3</v>
      </c>
      <c r="G27" s="691"/>
      <c r="H27" s="679"/>
      <c r="I27" s="691"/>
      <c r="J27" s="691"/>
      <c r="K27" s="691">
        <v>-2.7285869966374263E-2</v>
      </c>
    </row>
    <row r="28" spans="1:11" ht="15">
      <c r="A28" s="333">
        <v>17</v>
      </c>
      <c r="B28" s="334" t="s">
        <v>140</v>
      </c>
      <c r="C28" s="691">
        <v>1.6693608270321247E-2</v>
      </c>
      <c r="D28" s="691">
        <v>1.7214774977392145E-2</v>
      </c>
      <c r="E28" s="691">
        <v>1.8265115961225233E-2</v>
      </c>
      <c r="F28" s="691">
        <v>2.451000960447746E-2</v>
      </c>
      <c r="G28" s="691"/>
      <c r="H28" s="679"/>
      <c r="I28" s="691"/>
      <c r="J28" s="691"/>
      <c r="K28" s="691">
        <v>9.4960918753060515E-3</v>
      </c>
    </row>
    <row r="29" spans="1:11" ht="15">
      <c r="A29" s="333">
        <v>18</v>
      </c>
      <c r="B29" s="334" t="s">
        <v>10</v>
      </c>
      <c r="C29" s="691">
        <v>-1.2986292849792808E-3</v>
      </c>
      <c r="D29" s="691">
        <v>-3.7723320755885741E-2</v>
      </c>
      <c r="E29" s="691">
        <v>4.0758985961543851E-3</v>
      </c>
      <c r="F29" s="691">
        <v>8.1470464237923322E-5</v>
      </c>
      <c r="G29" s="691"/>
      <c r="H29" s="679"/>
      <c r="I29" s="691"/>
      <c r="J29" s="691"/>
      <c r="K29" s="691">
        <v>3.0081747067863306E-3</v>
      </c>
    </row>
    <row r="30" spans="1:11" ht="15">
      <c r="A30" s="333">
        <v>19</v>
      </c>
      <c r="B30" s="334" t="s">
        <v>11</v>
      </c>
      <c r="C30" s="691">
        <v>-1.837508261185187E-3</v>
      </c>
      <c r="D30" s="691">
        <v>-5.3260346493588864E-2</v>
      </c>
      <c r="E30" s="691">
        <v>5.701782569374308E-3</v>
      </c>
      <c r="F30" s="691">
        <v>1.1608460485498054E-4</v>
      </c>
      <c r="G30" s="691"/>
      <c r="H30" s="679"/>
      <c r="I30" s="691"/>
      <c r="J30" s="691"/>
      <c r="K30" s="691">
        <v>4.545345583083853E-3</v>
      </c>
    </row>
    <row r="31" spans="1:11" ht="15">
      <c r="A31" s="329"/>
      <c r="B31" s="330" t="s">
        <v>12</v>
      </c>
      <c r="C31" s="684"/>
      <c r="D31" s="684"/>
      <c r="E31" s="684"/>
      <c r="F31" s="684"/>
      <c r="G31" s="684"/>
      <c r="H31" s="679"/>
      <c r="I31" s="684"/>
      <c r="J31" s="684"/>
      <c r="K31" s="684"/>
    </row>
    <row r="32" spans="1:11" ht="15">
      <c r="A32" s="333">
        <v>20</v>
      </c>
      <c r="B32" s="334" t="s">
        <v>13</v>
      </c>
      <c r="C32" s="691">
        <v>0.57101272130798897</v>
      </c>
      <c r="D32" s="691">
        <v>0.4763152265256273</v>
      </c>
      <c r="E32" s="691">
        <v>0.27112451671875198</v>
      </c>
      <c r="F32" s="691">
        <v>0.27366792338315526</v>
      </c>
      <c r="G32" s="691"/>
      <c r="H32" s="679"/>
      <c r="I32" s="691"/>
      <c r="J32" s="691"/>
      <c r="K32" s="691">
        <v>0.24436036975216371</v>
      </c>
    </row>
    <row r="33" spans="1:11" ht="15" customHeight="1">
      <c r="A33" s="333">
        <v>21</v>
      </c>
      <c r="B33" s="334" t="s">
        <v>958</v>
      </c>
      <c r="C33" s="691">
        <v>8.6704743945984736E-2</v>
      </c>
      <c r="D33" s="691">
        <v>7.7283199429053415E-2</v>
      </c>
      <c r="E33" s="691">
        <v>6.9796117162092372E-2</v>
      </c>
      <c r="F33" s="691">
        <v>7.0654042654676313E-2</v>
      </c>
      <c r="G33" s="691"/>
      <c r="H33" s="679"/>
      <c r="I33" s="691"/>
      <c r="J33" s="691"/>
      <c r="K33" s="691">
        <v>0.11923139489189029</v>
      </c>
    </row>
    <row r="34" spans="1:11" ht="15">
      <c r="A34" s="333">
        <v>22</v>
      </c>
      <c r="B34" s="334" t="s">
        <v>14</v>
      </c>
      <c r="C34" s="691">
        <v>0.61976173574193572</v>
      </c>
      <c r="D34" s="691">
        <v>0.60762270924449058</v>
      </c>
      <c r="E34" s="691">
        <v>0.59750860214073431</v>
      </c>
      <c r="F34" s="691">
        <v>0.59500742654462468</v>
      </c>
      <c r="G34" s="691"/>
      <c r="H34" s="679"/>
      <c r="I34" s="691"/>
      <c r="J34" s="691"/>
      <c r="K34" s="691">
        <v>0.57138100843410145</v>
      </c>
    </row>
    <row r="35" spans="1:11" ht="15" customHeight="1">
      <c r="A35" s="333">
        <v>23</v>
      </c>
      <c r="B35" s="334" t="s">
        <v>15</v>
      </c>
      <c r="C35" s="691">
        <v>0.43253312969769658</v>
      </c>
      <c r="D35" s="691">
        <v>0.43284324486207082</v>
      </c>
      <c r="E35" s="691">
        <v>0.4180559286617066</v>
      </c>
      <c r="F35" s="691">
        <v>0.41614500534261689</v>
      </c>
      <c r="G35" s="691"/>
      <c r="H35" s="679"/>
      <c r="I35" s="691"/>
      <c r="J35" s="691"/>
      <c r="K35" s="691">
        <v>0.43531228825262114</v>
      </c>
    </row>
    <row r="36" spans="1:11" ht="15">
      <c r="A36" s="333">
        <v>24</v>
      </c>
      <c r="B36" s="334" t="s">
        <v>16</v>
      </c>
      <c r="C36" s="691">
        <v>-6.168703645023333E-2</v>
      </c>
      <c r="D36" s="691">
        <v>4.4038192866709619E-3</v>
      </c>
      <c r="E36" s="691">
        <v>-1.6822288755374504E-2</v>
      </c>
      <c r="F36" s="691">
        <v>-0.20973774215393315</v>
      </c>
      <c r="G36" s="691"/>
      <c r="H36" s="679"/>
      <c r="I36" s="691"/>
      <c r="J36" s="691"/>
      <c r="K36" s="691">
        <v>-0.22043031646959352</v>
      </c>
    </row>
    <row r="37" spans="1:11" ht="15" customHeight="1">
      <c r="A37" s="329"/>
      <c r="B37" s="330" t="s">
        <v>17</v>
      </c>
      <c r="C37" s="684"/>
      <c r="D37" s="684"/>
      <c r="E37" s="684"/>
      <c r="F37" s="684"/>
      <c r="G37" s="684"/>
      <c r="H37" s="679"/>
      <c r="I37" s="684"/>
      <c r="J37" s="684"/>
      <c r="K37" s="684"/>
    </row>
    <row r="38" spans="1:11" ht="15" customHeight="1">
      <c r="A38" s="333">
        <v>25</v>
      </c>
      <c r="B38" s="334" t="s">
        <v>18</v>
      </c>
      <c r="C38" s="691">
        <v>0.34233655635928922</v>
      </c>
      <c r="D38" s="691">
        <v>0.3274314287271935</v>
      </c>
      <c r="E38" s="691">
        <v>0.32828755971221607</v>
      </c>
      <c r="F38" s="691">
        <v>0.31676400967057627</v>
      </c>
      <c r="G38" s="691"/>
      <c r="H38" s="679"/>
      <c r="I38" s="691"/>
      <c r="J38" s="691"/>
      <c r="K38" s="691">
        <v>0.34779090227790938</v>
      </c>
    </row>
    <row r="39" spans="1:11" ht="15" customHeight="1">
      <c r="A39" s="333">
        <v>26</v>
      </c>
      <c r="B39" s="334" t="s">
        <v>19</v>
      </c>
      <c r="C39" s="691">
        <v>0.87100707822770651</v>
      </c>
      <c r="D39" s="691">
        <v>0.87738219486866365</v>
      </c>
      <c r="E39" s="691">
        <v>0.8603752423587433</v>
      </c>
      <c r="F39" s="691">
        <v>0.86105729834233424</v>
      </c>
      <c r="G39" s="691"/>
      <c r="H39" s="679"/>
      <c r="I39" s="691"/>
      <c r="J39" s="691"/>
      <c r="K39" s="691">
        <v>0.83123734841034058</v>
      </c>
    </row>
    <row r="40" spans="1:11" ht="15" customHeight="1">
      <c r="A40" s="333">
        <v>27</v>
      </c>
      <c r="B40" s="335" t="s">
        <v>20</v>
      </c>
      <c r="C40" s="691">
        <v>2.8886941628156096E-2</v>
      </c>
      <c r="D40" s="691">
        <v>2.9487076829897204E-2</v>
      </c>
      <c r="E40" s="691">
        <v>3.007165084446951E-2</v>
      </c>
      <c r="F40" s="691">
        <v>2.9832046425597312E-2</v>
      </c>
      <c r="G40" s="691"/>
      <c r="H40" s="679"/>
      <c r="I40" s="691"/>
      <c r="J40" s="691"/>
      <c r="K40" s="691">
        <v>4.1097076542233629E-2</v>
      </c>
    </row>
    <row r="41" spans="1:11" ht="15" customHeight="1">
      <c r="A41" s="336"/>
      <c r="B41" s="330" t="s">
        <v>356</v>
      </c>
      <c r="C41" s="684"/>
      <c r="D41" s="684"/>
      <c r="E41" s="684"/>
      <c r="F41" s="684"/>
      <c r="G41" s="684"/>
      <c r="H41" s="679"/>
      <c r="I41" s="684"/>
      <c r="J41" s="684"/>
      <c r="K41" s="684"/>
    </row>
    <row r="42" spans="1:11" ht="15" customHeight="1">
      <c r="A42" s="333">
        <v>28</v>
      </c>
      <c r="B42" s="374" t="s">
        <v>340</v>
      </c>
      <c r="C42" s="692">
        <v>164414703.24720001</v>
      </c>
      <c r="D42" s="692">
        <v>153604027.46289998</v>
      </c>
      <c r="E42" s="692">
        <v>149026336.69</v>
      </c>
      <c r="F42" s="692">
        <v>144171681.20429999</v>
      </c>
      <c r="G42" s="692"/>
      <c r="H42" s="679"/>
      <c r="I42" s="692"/>
      <c r="J42" s="692"/>
      <c r="K42" s="692">
        <v>137662621.34759998</v>
      </c>
    </row>
    <row r="43" spans="1:11" ht="15">
      <c r="A43" s="333">
        <v>29</v>
      </c>
      <c r="B43" s="334" t="s">
        <v>341</v>
      </c>
      <c r="C43" s="692">
        <v>24265320.006339312</v>
      </c>
      <c r="D43" s="692">
        <v>20478587.869728357</v>
      </c>
      <c r="E43" s="692">
        <v>22711496.467702851</v>
      </c>
      <c r="F43" s="692">
        <v>22832231.128789958</v>
      </c>
      <c r="G43" s="692"/>
      <c r="H43" s="679"/>
      <c r="I43" s="692"/>
      <c r="J43" s="692"/>
      <c r="K43" s="692">
        <v>30592189.450344253</v>
      </c>
    </row>
    <row r="44" spans="1:11" ht="15">
      <c r="A44" s="372">
        <v>30</v>
      </c>
      <c r="B44" s="373" t="s">
        <v>339</v>
      </c>
      <c r="C44" s="691">
        <v>6.77570719051909</v>
      </c>
      <c r="D44" s="691">
        <v>7.5007138402330424</v>
      </c>
      <c r="E44" s="691">
        <v>6.5617136634710373</v>
      </c>
      <c r="F44" s="691">
        <v>6.3143930346127615</v>
      </c>
      <c r="G44" s="691"/>
      <c r="H44" s="679"/>
      <c r="I44" s="691"/>
      <c r="J44" s="691"/>
      <c r="K44" s="691">
        <v>4.4999270670393576</v>
      </c>
    </row>
    <row r="45" spans="1:11" ht="15">
      <c r="A45" s="372"/>
      <c r="B45" s="330" t="s">
        <v>453</v>
      </c>
      <c r="C45" s="684"/>
      <c r="D45" s="684"/>
      <c r="E45" s="684"/>
      <c r="F45" s="684"/>
      <c r="G45" s="684"/>
      <c r="H45" s="679"/>
      <c r="I45" s="684"/>
      <c r="J45" s="684"/>
      <c r="K45" s="684"/>
    </row>
    <row r="46" spans="1:11" ht="15">
      <c r="A46" s="372">
        <v>31</v>
      </c>
      <c r="B46" s="373" t="s">
        <v>460</v>
      </c>
      <c r="C46" s="687">
        <v>420864835.86790001</v>
      </c>
      <c r="D46" s="687">
        <v>423963656.05232698</v>
      </c>
      <c r="E46" s="687">
        <v>417625095.31626904</v>
      </c>
      <c r="F46" s="687">
        <v>419370124.83249998</v>
      </c>
      <c r="G46" s="687"/>
      <c r="H46" s="679"/>
      <c r="I46" s="687"/>
      <c r="J46" s="687"/>
      <c r="K46" s="687">
        <v>341912507.95999998</v>
      </c>
    </row>
    <row r="47" spans="1:11" ht="15">
      <c r="A47" s="372">
        <v>32</v>
      </c>
      <c r="B47" s="373" t="s">
        <v>473</v>
      </c>
      <c r="C47" s="687">
        <v>265389534.78531218</v>
      </c>
      <c r="D47" s="687">
        <v>274656241.39402753</v>
      </c>
      <c r="E47" s="687">
        <v>274073874.14183408</v>
      </c>
      <c r="F47" s="687">
        <v>276107215.12015742</v>
      </c>
      <c r="G47" s="687"/>
      <c r="H47" s="679"/>
      <c r="I47" s="687"/>
      <c r="J47" s="687"/>
      <c r="K47" s="687">
        <v>195808685.04223257</v>
      </c>
    </row>
    <row r="48" spans="1:11" thickBot="1">
      <c r="A48" s="83">
        <v>33</v>
      </c>
      <c r="B48" s="170" t="s">
        <v>487</v>
      </c>
      <c r="C48" s="701">
        <v>1.5858381009950531</v>
      </c>
      <c r="D48" s="701">
        <v>1.5436155898023083</v>
      </c>
      <c r="E48" s="701">
        <v>1.5237683512298101</v>
      </c>
      <c r="F48" s="702">
        <v>1.5188669540924413</v>
      </c>
      <c r="G48" s="702"/>
      <c r="H48" s="679"/>
      <c r="I48" s="701"/>
      <c r="J48" s="701"/>
      <c r="K48" s="701">
        <v>1.7461559883631073</v>
      </c>
    </row>
    <row r="49" spans="1:11">
      <c r="A49" s="20"/>
      <c r="C49" s="678"/>
      <c r="D49" s="678"/>
      <c r="E49" s="678"/>
      <c r="F49" s="678"/>
      <c r="G49" s="678"/>
      <c r="H49" s="677"/>
      <c r="I49" s="677"/>
      <c r="J49" s="677"/>
      <c r="K49" s="677"/>
    </row>
    <row r="50" spans="1:11" ht="39.75">
      <c r="B50" s="23" t="s">
        <v>945</v>
      </c>
      <c r="C50" s="678"/>
      <c r="D50" s="678"/>
      <c r="E50" s="678"/>
      <c r="F50" s="678"/>
      <c r="G50" s="678"/>
      <c r="H50" s="677"/>
      <c r="I50" s="677"/>
      <c r="J50" s="677"/>
      <c r="K50" s="677"/>
    </row>
    <row r="51" spans="1:11" ht="65.25">
      <c r="B51" s="246" t="s">
        <v>355</v>
      </c>
      <c r="C51" s="677"/>
      <c r="D51" s="678"/>
      <c r="E51" s="678"/>
      <c r="F51" s="678"/>
      <c r="G51" s="678"/>
      <c r="H51" s="677"/>
      <c r="I51" s="677"/>
      <c r="J51" s="677"/>
      <c r="K51" s="677"/>
    </row>
    <row r="52" spans="1:11">
      <c r="C52" s="677"/>
      <c r="D52" s="678"/>
      <c r="E52" s="678"/>
      <c r="F52" s="678"/>
      <c r="G52" s="678"/>
      <c r="H52" s="679"/>
      <c r="I52" s="679"/>
      <c r="J52" s="679"/>
      <c r="K52" s="679"/>
    </row>
    <row r="53" spans="1:11">
      <c r="C53" s="677"/>
      <c r="D53" s="678"/>
      <c r="E53" s="678"/>
      <c r="F53" s="678"/>
      <c r="G53" s="678"/>
      <c r="H53" s="677"/>
      <c r="I53" s="677"/>
      <c r="J53" s="677"/>
      <c r="K53" s="677"/>
    </row>
    <row r="54" spans="1:11">
      <c r="C54" s="677"/>
      <c r="D54" s="678"/>
      <c r="E54" s="678"/>
      <c r="F54" s="678"/>
      <c r="G54" s="678"/>
      <c r="H54" s="679"/>
      <c r="I54" s="679"/>
      <c r="J54" s="679"/>
      <c r="K54" s="679"/>
    </row>
    <row r="55" spans="1:11">
      <c r="C55" s="677"/>
      <c r="D55" s="678"/>
      <c r="E55" s="678"/>
      <c r="F55" s="678"/>
      <c r="G55" s="678"/>
      <c r="H55" s="679"/>
      <c r="I55" s="679"/>
      <c r="J55" s="679"/>
      <c r="K55" s="679"/>
    </row>
    <row r="56" spans="1:11">
      <c r="C56" s="677"/>
      <c r="D56" s="678"/>
      <c r="E56" s="678"/>
      <c r="F56" s="678"/>
      <c r="G56" s="678"/>
      <c r="H56" s="679"/>
      <c r="I56" s="679"/>
      <c r="J56" s="679"/>
      <c r="K56" s="679"/>
    </row>
    <row r="57" spans="1:11">
      <c r="C57" s="677"/>
      <c r="D57" s="678"/>
      <c r="E57" s="678"/>
      <c r="F57" s="678"/>
      <c r="G57" s="678"/>
      <c r="H57" s="679"/>
      <c r="I57" s="679"/>
      <c r="J57" s="679"/>
      <c r="K57" s="679"/>
    </row>
    <row r="58" spans="1:11">
      <c r="C58" s="677"/>
      <c r="D58" s="678"/>
      <c r="E58" s="678"/>
      <c r="F58" s="678"/>
      <c r="G58" s="678"/>
      <c r="H58" s="679"/>
      <c r="I58" s="679"/>
      <c r="J58" s="679"/>
      <c r="K58" s="679"/>
    </row>
    <row r="59" spans="1:11">
      <c r="C59" s="677"/>
      <c r="D59" s="678"/>
      <c r="E59" s="678"/>
      <c r="F59" s="678"/>
      <c r="G59" s="678"/>
      <c r="H59" s="679"/>
      <c r="I59" s="679"/>
      <c r="J59" s="679"/>
      <c r="K59" s="679"/>
    </row>
    <row r="60" spans="1:11">
      <c r="C60" s="677"/>
      <c r="D60" s="678"/>
      <c r="E60" s="678"/>
      <c r="F60" s="678"/>
      <c r="G60" s="678"/>
      <c r="H60" s="679"/>
      <c r="I60" s="679"/>
      <c r="J60" s="679"/>
      <c r="K60" s="679"/>
    </row>
    <row r="61" spans="1:11">
      <c r="C61" s="677"/>
      <c r="D61" s="678"/>
      <c r="E61" s="678"/>
      <c r="F61" s="678"/>
      <c r="G61" s="678"/>
      <c r="H61" s="679"/>
      <c r="I61" s="679"/>
      <c r="J61" s="679"/>
      <c r="K61" s="679"/>
    </row>
    <row r="62" spans="1:11">
      <c r="C62" s="677"/>
      <c r="D62" s="678"/>
      <c r="E62" s="678"/>
      <c r="F62" s="678"/>
      <c r="G62" s="678"/>
      <c r="H62" s="679"/>
      <c r="I62" s="679"/>
      <c r="J62" s="679"/>
      <c r="K62" s="679"/>
    </row>
    <row r="63" spans="1:11">
      <c r="C63" s="677"/>
      <c r="D63" s="678"/>
      <c r="E63" s="678"/>
      <c r="F63" s="678"/>
      <c r="G63" s="678"/>
      <c r="H63" s="679"/>
      <c r="I63" s="679"/>
      <c r="J63" s="679"/>
      <c r="K63" s="679"/>
    </row>
    <row r="64" spans="1:11">
      <c r="C64" s="677"/>
      <c r="D64" s="678"/>
      <c r="E64" s="678"/>
      <c r="F64" s="678"/>
      <c r="G64" s="678"/>
      <c r="H64" s="679"/>
      <c r="I64" s="679"/>
      <c r="J64" s="679"/>
      <c r="K64" s="679"/>
    </row>
    <row r="65" spans="3:11">
      <c r="C65" s="677"/>
      <c r="D65" s="678"/>
      <c r="E65" s="678"/>
      <c r="F65" s="678"/>
      <c r="G65" s="678"/>
      <c r="H65" s="679"/>
      <c r="I65" s="679"/>
      <c r="J65" s="679"/>
      <c r="K65" s="679"/>
    </row>
    <row r="66" spans="3:11">
      <c r="C66" s="677"/>
      <c r="D66" s="678"/>
      <c r="E66" s="678"/>
      <c r="F66" s="678"/>
      <c r="G66" s="678"/>
      <c r="H66" s="679"/>
      <c r="I66" s="679"/>
      <c r="J66" s="679"/>
      <c r="K66" s="679"/>
    </row>
    <row r="67" spans="3:11">
      <c r="C67" s="677"/>
      <c r="D67" s="678"/>
      <c r="E67" s="678"/>
      <c r="F67" s="678"/>
      <c r="G67" s="678"/>
      <c r="H67" s="679"/>
      <c r="I67" s="679"/>
      <c r="J67" s="679"/>
      <c r="K67" s="679"/>
    </row>
    <row r="68" spans="3:11">
      <c r="C68" s="677"/>
      <c r="D68" s="678"/>
      <c r="E68" s="678"/>
      <c r="F68" s="678"/>
      <c r="G68" s="678"/>
      <c r="H68" s="679"/>
      <c r="I68" s="679"/>
      <c r="J68" s="679"/>
      <c r="K68" s="679"/>
    </row>
    <row r="69" spans="3:11">
      <c r="C69" s="677"/>
      <c r="D69" s="678"/>
      <c r="E69" s="678"/>
      <c r="F69" s="678"/>
      <c r="G69" s="678"/>
      <c r="H69" s="679"/>
      <c r="I69" s="679"/>
      <c r="J69" s="679"/>
      <c r="K69" s="679"/>
    </row>
    <row r="70" spans="3:11">
      <c r="C70" s="677"/>
      <c r="D70" s="678"/>
      <c r="E70" s="678"/>
      <c r="F70" s="678"/>
      <c r="G70" s="678"/>
      <c r="H70" s="679"/>
      <c r="I70" s="679"/>
      <c r="J70" s="679"/>
      <c r="K70" s="679"/>
    </row>
    <row r="71" spans="3:11">
      <c r="C71" s="677"/>
      <c r="D71" s="678"/>
      <c r="E71" s="678"/>
      <c r="F71" s="678"/>
      <c r="G71" s="678"/>
      <c r="H71" s="679"/>
      <c r="I71" s="679"/>
      <c r="J71" s="679"/>
      <c r="K71" s="679"/>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80" zoomScaleNormal="80" workbookViewId="0">
      <selection activeCell="C8" sqref="C8:G21"/>
    </sheetView>
  </sheetViews>
  <sheetFormatPr defaultColWidth="9.28515625" defaultRowHeight="12.75"/>
  <cols>
    <col min="1" max="1" width="11.7109375" style="380" bestFit="1" customWidth="1"/>
    <col min="2" max="2" width="105.28515625" style="380" bestFit="1" customWidth="1"/>
    <col min="3" max="3" width="15.28515625" style="685" bestFit="1" customWidth="1"/>
    <col min="4" max="4" width="14.28515625" style="685" bestFit="1" customWidth="1"/>
    <col min="5" max="5" width="17.5703125" style="685" bestFit="1" customWidth="1"/>
    <col min="6" max="6" width="14.28515625" style="685" bestFit="1" customWidth="1"/>
    <col min="7" max="7" width="30.42578125" style="685" customWidth="1"/>
    <col min="8" max="8" width="15.140625" style="685" bestFit="1" customWidth="1"/>
    <col min="9" max="9" width="9.85546875" style="380" bestFit="1" customWidth="1"/>
    <col min="10" max="16384" width="9.28515625" style="380"/>
  </cols>
  <sheetData>
    <row r="1" spans="1:9" ht="13.5">
      <c r="A1" s="379" t="s">
        <v>108</v>
      </c>
      <c r="B1" s="306" t="str">
        <f>Info!C2</f>
        <v>JSC "VTB Bank (Georgia)"</v>
      </c>
    </row>
    <row r="2" spans="1:9">
      <c r="A2" s="381" t="s">
        <v>109</v>
      </c>
      <c r="B2" s="383">
        <f>Info!D2</f>
        <v>45565</v>
      </c>
    </row>
    <row r="3" spans="1:9">
      <c r="A3" s="382" t="s">
        <v>493</v>
      </c>
    </row>
    <row r="5" spans="1:9">
      <c r="A5" s="868" t="s">
        <v>494</v>
      </c>
      <c r="B5" s="869"/>
      <c r="C5" s="874" t="s">
        <v>495</v>
      </c>
      <c r="D5" s="875"/>
      <c r="E5" s="875"/>
      <c r="F5" s="875"/>
      <c r="G5" s="875"/>
      <c r="H5" s="876"/>
    </row>
    <row r="6" spans="1:9">
      <c r="A6" s="870"/>
      <c r="B6" s="871"/>
      <c r="C6" s="877"/>
      <c r="D6" s="878"/>
      <c r="E6" s="878"/>
      <c r="F6" s="878"/>
      <c r="G6" s="878"/>
      <c r="H6" s="879"/>
    </row>
    <row r="7" spans="1:9" ht="25.5">
      <c r="A7" s="872"/>
      <c r="B7" s="873"/>
      <c r="C7" s="629" t="s">
        <v>496</v>
      </c>
      <c r="D7" s="629" t="s">
        <v>497</v>
      </c>
      <c r="E7" s="629" t="s">
        <v>498</v>
      </c>
      <c r="F7" s="629" t="s">
        <v>499</v>
      </c>
      <c r="G7" s="628" t="s">
        <v>679</v>
      </c>
      <c r="H7" s="629" t="s">
        <v>66</v>
      </c>
    </row>
    <row r="8" spans="1:9">
      <c r="A8" s="477">
        <v>1</v>
      </c>
      <c r="B8" s="476" t="s">
        <v>134</v>
      </c>
      <c r="C8" s="720">
        <v>351</v>
      </c>
      <c r="D8" s="720">
        <v>0.36000000000001364</v>
      </c>
      <c r="E8" s="720">
        <v>0</v>
      </c>
      <c r="F8" s="720">
        <v>0</v>
      </c>
      <c r="G8" s="720"/>
      <c r="H8" s="631">
        <f t="shared" ref="H8:H20" si="0">SUM(C8:G8)</f>
        <v>351.36</v>
      </c>
    </row>
    <row r="9" spans="1:9">
      <c r="A9" s="477">
        <v>2</v>
      </c>
      <c r="B9" s="476" t="s">
        <v>135</v>
      </c>
      <c r="C9" s="720"/>
      <c r="D9" s="720"/>
      <c r="E9" s="720"/>
      <c r="F9" s="720"/>
      <c r="G9" s="720"/>
      <c r="H9" s="631">
        <f t="shared" si="0"/>
        <v>0</v>
      </c>
    </row>
    <row r="10" spans="1:9">
      <c r="A10" s="477">
        <v>3</v>
      </c>
      <c r="B10" s="476" t="s">
        <v>136</v>
      </c>
      <c r="C10" s="720"/>
      <c r="D10" s="720"/>
      <c r="E10" s="720"/>
      <c r="F10" s="720"/>
      <c r="G10" s="720"/>
      <c r="H10" s="631">
        <f t="shared" si="0"/>
        <v>0</v>
      </c>
    </row>
    <row r="11" spans="1:9">
      <c r="A11" s="477">
        <v>4</v>
      </c>
      <c r="B11" s="476" t="s">
        <v>137</v>
      </c>
      <c r="C11" s="720"/>
      <c r="D11" s="720"/>
      <c r="E11" s="720"/>
      <c r="F11" s="720"/>
      <c r="G11" s="720"/>
      <c r="H11" s="631">
        <f t="shared" si="0"/>
        <v>0</v>
      </c>
    </row>
    <row r="12" spans="1:9">
      <c r="A12" s="477">
        <v>5</v>
      </c>
      <c r="B12" s="476" t="s">
        <v>949</v>
      </c>
      <c r="C12" s="720"/>
      <c r="D12" s="720"/>
      <c r="E12" s="720"/>
      <c r="F12" s="720"/>
      <c r="G12" s="720"/>
      <c r="H12" s="631">
        <f t="shared" si="0"/>
        <v>0</v>
      </c>
    </row>
    <row r="13" spans="1:9">
      <c r="A13" s="477">
        <v>6</v>
      </c>
      <c r="B13" s="476" t="s">
        <v>138</v>
      </c>
      <c r="C13" s="720">
        <v>6912757</v>
      </c>
      <c r="D13" s="720">
        <v>116149.8269</v>
      </c>
      <c r="E13" s="720">
        <v>0</v>
      </c>
      <c r="F13" s="720">
        <v>0</v>
      </c>
      <c r="G13" s="720"/>
      <c r="H13" s="631">
        <f t="shared" si="0"/>
        <v>7028906.8268999998</v>
      </c>
      <c r="I13" s="662">
        <v>0.82689999975264072</v>
      </c>
    </row>
    <row r="14" spans="1:9">
      <c r="A14" s="477">
        <v>7</v>
      </c>
      <c r="B14" s="476" t="s">
        <v>71</v>
      </c>
      <c r="C14" s="720">
        <v>0</v>
      </c>
      <c r="D14" s="720">
        <v>87965541.110899985</v>
      </c>
      <c r="E14" s="720">
        <v>72172157.964799926</v>
      </c>
      <c r="F14" s="720">
        <v>13457317.256499998</v>
      </c>
      <c r="G14" s="720">
        <v>0</v>
      </c>
      <c r="H14" s="631">
        <f t="shared" si="0"/>
        <v>173595016.33219993</v>
      </c>
      <c r="I14" s="662">
        <v>-0.26910006999969482</v>
      </c>
    </row>
    <row r="15" spans="1:9">
      <c r="A15" s="477">
        <v>8</v>
      </c>
      <c r="B15" s="478" t="s">
        <v>72</v>
      </c>
      <c r="C15" s="720">
        <v>0</v>
      </c>
      <c r="D15" s="720">
        <v>0</v>
      </c>
      <c r="E15" s="720">
        <v>0</v>
      </c>
      <c r="F15" s="720">
        <v>8.1399999995483086E-2</v>
      </c>
      <c r="G15" s="720">
        <v>0</v>
      </c>
      <c r="H15" s="631">
        <f t="shared" si="0"/>
        <v>8.1399999995483086E-2</v>
      </c>
    </row>
    <row r="16" spans="1:9">
      <c r="A16" s="477">
        <v>9</v>
      </c>
      <c r="B16" s="476" t="s">
        <v>950</v>
      </c>
      <c r="C16" s="720">
        <v>0</v>
      </c>
      <c r="D16" s="720">
        <v>107081.2631</v>
      </c>
      <c r="E16" s="720">
        <v>1478430.3696000001</v>
      </c>
      <c r="F16" s="720">
        <v>5133144.5351</v>
      </c>
      <c r="G16" s="720">
        <v>0</v>
      </c>
      <c r="H16" s="631">
        <f t="shared" si="0"/>
        <v>6718656.1677999999</v>
      </c>
      <c r="I16" s="662">
        <v>-0.83220000006258488</v>
      </c>
    </row>
    <row r="17" spans="1:9">
      <c r="A17" s="477">
        <v>10</v>
      </c>
      <c r="B17" s="480" t="s">
        <v>514</v>
      </c>
      <c r="C17" s="720">
        <v>0</v>
      </c>
      <c r="D17" s="720">
        <v>39543700.142899998</v>
      </c>
      <c r="E17" s="720">
        <v>22314918.397</v>
      </c>
      <c r="F17" s="720">
        <v>4994143.0614</v>
      </c>
      <c r="G17" s="720">
        <v>0</v>
      </c>
      <c r="H17" s="631">
        <f t="shared" si="0"/>
        <v>66852761.601300001</v>
      </c>
      <c r="I17" s="662">
        <v>-0.39869999885559082</v>
      </c>
    </row>
    <row r="18" spans="1:9">
      <c r="A18" s="477">
        <v>11</v>
      </c>
      <c r="B18" s="476" t="s">
        <v>68</v>
      </c>
      <c r="C18" s="720">
        <v>0</v>
      </c>
      <c r="D18" s="720">
        <v>0</v>
      </c>
      <c r="E18" s="720">
        <v>0</v>
      </c>
      <c r="F18" s="720">
        <v>0</v>
      </c>
      <c r="G18" s="720">
        <v>0</v>
      </c>
      <c r="H18" s="631">
        <f t="shared" si="0"/>
        <v>0</v>
      </c>
    </row>
    <row r="19" spans="1:9">
      <c r="A19" s="477">
        <v>12</v>
      </c>
      <c r="B19" s="476" t="s">
        <v>69</v>
      </c>
      <c r="C19" s="720"/>
      <c r="D19" s="720"/>
      <c r="E19" s="720"/>
      <c r="F19" s="720"/>
      <c r="G19" s="720"/>
      <c r="H19" s="631">
        <f t="shared" si="0"/>
        <v>0</v>
      </c>
    </row>
    <row r="20" spans="1:9">
      <c r="A20" s="479">
        <v>13</v>
      </c>
      <c r="B20" s="478" t="s">
        <v>70</v>
      </c>
      <c r="C20" s="720"/>
      <c r="D20" s="720"/>
      <c r="E20" s="720"/>
      <c r="F20" s="720"/>
      <c r="G20" s="720"/>
      <c r="H20" s="631">
        <f t="shared" si="0"/>
        <v>0</v>
      </c>
    </row>
    <row r="21" spans="1:9">
      <c r="A21" s="477">
        <v>14</v>
      </c>
      <c r="B21" s="476" t="s">
        <v>500</v>
      </c>
      <c r="C21" s="720">
        <v>166906934</v>
      </c>
      <c r="D21" s="720">
        <v>16229813.099312639</v>
      </c>
      <c r="E21" s="720">
        <v>3242153.7324000001</v>
      </c>
      <c r="F21" s="720">
        <v>0</v>
      </c>
      <c r="G21" s="720">
        <v>83492529</v>
      </c>
      <c r="H21" s="631">
        <f>SUM(C21:G21)</f>
        <v>269871429.8317126</v>
      </c>
      <c r="I21" s="662">
        <v>0.47251260280609131</v>
      </c>
    </row>
    <row r="22" spans="1:9">
      <c r="A22" s="475">
        <v>15</v>
      </c>
      <c r="B22" s="474" t="s">
        <v>66</v>
      </c>
      <c r="C22" s="631">
        <f>SUM(C18:C21)+SUM(C8:C16)</f>
        <v>173820042</v>
      </c>
      <c r="D22" s="631">
        <f t="shared" ref="D22:H22" si="1">SUM(D18:D21)+SUM(D8:D16)</f>
        <v>104418585.66021262</v>
      </c>
      <c r="E22" s="631">
        <f t="shared" si="1"/>
        <v>76892742.066799924</v>
      </c>
      <c r="F22" s="631">
        <f t="shared" si="1"/>
        <v>18590461.872999996</v>
      </c>
      <c r="G22" s="631">
        <f t="shared" si="1"/>
        <v>83492529</v>
      </c>
      <c r="H22" s="631">
        <f t="shared" si="1"/>
        <v>457214360.60001254</v>
      </c>
    </row>
    <row r="23" spans="1:9">
      <c r="H23" s="685">
        <f>H22-'13. CRME'!C22</f>
        <v>0.24081254005432129</v>
      </c>
    </row>
    <row r="26" spans="1:9" ht="38.25">
      <c r="B26" s="400" t="s">
        <v>678</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6"/>
  <sheetViews>
    <sheetView showGridLines="0" zoomScale="80" zoomScaleNormal="80" workbookViewId="0">
      <selection activeCell="J20" sqref="J20"/>
    </sheetView>
  </sheetViews>
  <sheetFormatPr defaultColWidth="9.28515625" defaultRowHeight="12.75"/>
  <cols>
    <col min="1" max="1" width="11.7109375" style="384" bestFit="1" customWidth="1"/>
    <col min="2" max="2" width="86.7109375" style="380" customWidth="1"/>
    <col min="3" max="4" width="31.5703125" style="380" customWidth="1"/>
    <col min="5" max="5" width="16.42578125" style="386" bestFit="1" customWidth="1"/>
    <col min="6" max="6" width="14.28515625" style="386" bestFit="1" customWidth="1"/>
    <col min="7" max="7" width="20" style="380" bestFit="1" customWidth="1"/>
    <col min="8" max="8" width="23.7109375" style="380" customWidth="1"/>
    <col min="9" max="9" width="11.42578125" style="380" bestFit="1" customWidth="1"/>
    <col min="10" max="16384" width="9.28515625" style="380"/>
  </cols>
  <sheetData>
    <row r="1" spans="1:9" ht="13.5">
      <c r="A1" s="379" t="s">
        <v>108</v>
      </c>
      <c r="B1" s="306" t="str">
        <f>Info!C2</f>
        <v>JSC "VTB Bank (Georgia)"</v>
      </c>
      <c r="C1" s="492"/>
      <c r="D1" s="492"/>
      <c r="E1" s="492"/>
      <c r="F1" s="492"/>
      <c r="G1" s="492"/>
      <c r="H1" s="492"/>
    </row>
    <row r="2" spans="1:9">
      <c r="A2" s="381" t="s">
        <v>109</v>
      </c>
      <c r="B2" s="383">
        <f>Info!D2</f>
        <v>45565</v>
      </c>
      <c r="C2" s="492"/>
      <c r="D2" s="492"/>
      <c r="E2" s="492"/>
      <c r="F2" s="492"/>
      <c r="G2" s="492"/>
      <c r="H2" s="492"/>
    </row>
    <row r="3" spans="1:9">
      <c r="A3" s="382" t="s">
        <v>501</v>
      </c>
      <c r="B3" s="492"/>
      <c r="C3" s="492"/>
      <c r="D3" s="492"/>
      <c r="E3" s="492"/>
      <c r="F3" s="492"/>
      <c r="G3" s="492"/>
      <c r="H3" s="492"/>
    </row>
    <row r="4" spans="1:9">
      <c r="A4" s="493"/>
      <c r="B4" s="492"/>
      <c r="C4" s="491" t="s">
        <v>502</v>
      </c>
      <c r="D4" s="491" t="s">
        <v>503</v>
      </c>
      <c r="E4" s="491" t="s">
        <v>504</v>
      </c>
      <c r="F4" s="491" t="s">
        <v>505</v>
      </c>
      <c r="G4" s="491" t="s">
        <v>506</v>
      </c>
      <c r="H4" s="491" t="s">
        <v>507</v>
      </c>
    </row>
    <row r="5" spans="1:9" ht="34.35" customHeight="1">
      <c r="A5" s="868" t="s">
        <v>867</v>
      </c>
      <c r="B5" s="869"/>
      <c r="C5" s="882" t="s">
        <v>596</v>
      </c>
      <c r="D5" s="882"/>
      <c r="E5" s="882" t="s">
        <v>866</v>
      </c>
      <c r="F5" s="880" t="s">
        <v>865</v>
      </c>
      <c r="G5" s="880" t="s">
        <v>511</v>
      </c>
      <c r="H5" s="489" t="s">
        <v>864</v>
      </c>
    </row>
    <row r="6" spans="1:9" ht="25.5">
      <c r="A6" s="872"/>
      <c r="B6" s="873"/>
      <c r="C6" s="490" t="s">
        <v>512</v>
      </c>
      <c r="D6" s="490" t="s">
        <v>513</v>
      </c>
      <c r="E6" s="882"/>
      <c r="F6" s="881"/>
      <c r="G6" s="881"/>
      <c r="H6" s="489" t="s">
        <v>863</v>
      </c>
    </row>
    <row r="7" spans="1:9">
      <c r="A7" s="487">
        <v>1</v>
      </c>
      <c r="B7" s="476" t="s">
        <v>134</v>
      </c>
      <c r="C7" s="721"/>
      <c r="D7" s="721">
        <v>351</v>
      </c>
      <c r="E7" s="722"/>
      <c r="F7" s="722"/>
      <c r="G7" s="721"/>
      <c r="H7" s="626">
        <f t="shared" ref="H7:H20" si="0">C7+D7-E7-F7</f>
        <v>351</v>
      </c>
    </row>
    <row r="8" spans="1:9" ht="25.35" customHeight="1">
      <c r="A8" s="487">
        <v>2</v>
      </c>
      <c r="B8" s="476" t="s">
        <v>135</v>
      </c>
      <c r="C8" s="721"/>
      <c r="D8" s="721"/>
      <c r="E8" s="722"/>
      <c r="F8" s="722"/>
      <c r="G8" s="721"/>
      <c r="H8" s="626">
        <f t="shared" si="0"/>
        <v>0</v>
      </c>
    </row>
    <row r="9" spans="1:9">
      <c r="A9" s="487">
        <v>3</v>
      </c>
      <c r="B9" s="476" t="s">
        <v>136</v>
      </c>
      <c r="C9" s="721"/>
      <c r="D9" s="721"/>
      <c r="E9" s="722"/>
      <c r="F9" s="722"/>
      <c r="G9" s="721"/>
      <c r="H9" s="626">
        <f t="shared" si="0"/>
        <v>0</v>
      </c>
    </row>
    <row r="10" spans="1:9">
      <c r="A10" s="487">
        <v>4</v>
      </c>
      <c r="B10" s="476" t="s">
        <v>137</v>
      </c>
      <c r="C10" s="721"/>
      <c r="D10" s="721"/>
      <c r="E10" s="722"/>
      <c r="F10" s="722"/>
      <c r="G10" s="721"/>
      <c r="H10" s="626">
        <f t="shared" si="0"/>
        <v>0</v>
      </c>
    </row>
    <row r="11" spans="1:9">
      <c r="A11" s="487">
        <v>5</v>
      </c>
      <c r="B11" s="476" t="s">
        <v>949</v>
      </c>
      <c r="C11" s="721"/>
      <c r="D11" s="721"/>
      <c r="E11" s="722"/>
      <c r="F11" s="722"/>
      <c r="G11" s="721"/>
      <c r="H11" s="626">
        <f t="shared" si="0"/>
        <v>0</v>
      </c>
    </row>
    <row r="12" spans="1:9">
      <c r="A12" s="487">
        <v>6</v>
      </c>
      <c r="B12" s="476" t="s">
        <v>138</v>
      </c>
      <c r="C12" s="721"/>
      <c r="D12" s="721">
        <v>7029049</v>
      </c>
      <c r="E12" s="722">
        <v>142</v>
      </c>
      <c r="F12" s="722"/>
      <c r="G12" s="721"/>
      <c r="H12" s="626">
        <f t="shared" si="0"/>
        <v>7028907</v>
      </c>
      <c r="I12" s="662">
        <f>H12-' 17. Residual Maturity'!H13</f>
        <v>0.17310000024735928</v>
      </c>
    </row>
    <row r="13" spans="1:9">
      <c r="A13" s="487">
        <v>7</v>
      </c>
      <c r="B13" s="476" t="s">
        <v>71</v>
      </c>
      <c r="C13" s="721">
        <v>112728087</v>
      </c>
      <c r="D13" s="721">
        <v>77966359</v>
      </c>
      <c r="E13" s="722">
        <v>17099429.863899574</v>
      </c>
      <c r="F13" s="722">
        <v>0</v>
      </c>
      <c r="G13" s="721">
        <v>0</v>
      </c>
      <c r="H13" s="626">
        <f t="shared" si="0"/>
        <v>173595016.13610041</v>
      </c>
      <c r="I13" s="662">
        <f>H13-' 17. Residual Maturity'!H14</f>
        <v>-0.19609951972961426</v>
      </c>
    </row>
    <row r="14" spans="1:9">
      <c r="A14" s="487">
        <v>8</v>
      </c>
      <c r="B14" s="478" t="s">
        <v>72</v>
      </c>
      <c r="C14" s="721">
        <v>0</v>
      </c>
      <c r="D14" s="721">
        <v>0</v>
      </c>
      <c r="E14" s="721">
        <v>0</v>
      </c>
      <c r="F14" s="722">
        <v>0</v>
      </c>
      <c r="G14" s="721">
        <v>0</v>
      </c>
      <c r="H14" s="626">
        <f t="shared" si="0"/>
        <v>0</v>
      </c>
      <c r="I14" s="662">
        <f>H14-' 17. Residual Maturity'!H15</f>
        <v>-8.1399999995483086E-2</v>
      </c>
    </row>
    <row r="15" spans="1:9" ht="24">
      <c r="A15" s="487">
        <v>9</v>
      </c>
      <c r="B15" s="476" t="s">
        <v>950</v>
      </c>
      <c r="C15" s="721">
        <v>8074.91</v>
      </c>
      <c r="D15" s="721">
        <v>6729439.9769150615</v>
      </c>
      <c r="E15" s="722">
        <v>18857.864038472362</v>
      </c>
      <c r="F15" s="722">
        <v>0</v>
      </c>
      <c r="G15" s="721">
        <v>0</v>
      </c>
      <c r="H15" s="626">
        <f t="shared" si="0"/>
        <v>6718657.0228765896</v>
      </c>
      <c r="I15" s="662">
        <f>H15-' 17. Residual Maturity'!H16</f>
        <v>0.85507658962160349</v>
      </c>
    </row>
    <row r="16" spans="1:9">
      <c r="A16" s="487">
        <v>10</v>
      </c>
      <c r="B16" s="480" t="s">
        <v>514</v>
      </c>
      <c r="C16" s="721">
        <v>79645582.253664985</v>
      </c>
      <c r="D16" s="721">
        <v>61007.159999996424</v>
      </c>
      <c r="E16" s="722">
        <v>12853826.996303871</v>
      </c>
      <c r="F16" s="722">
        <v>0</v>
      </c>
      <c r="G16" s="721">
        <v>0</v>
      </c>
      <c r="H16" s="626">
        <f t="shared" si="0"/>
        <v>66852762.41736111</v>
      </c>
      <c r="I16" s="662">
        <f>H16-' 17. Residual Maturity'!H17</f>
        <v>0.8160611093044281</v>
      </c>
    </row>
    <row r="17" spans="1:9">
      <c r="A17" s="487">
        <v>11</v>
      </c>
      <c r="B17" s="476" t="s">
        <v>68</v>
      </c>
      <c r="C17" s="721">
        <v>0</v>
      </c>
      <c r="D17" s="721">
        <v>0</v>
      </c>
      <c r="E17" s="722">
        <v>0</v>
      </c>
      <c r="F17" s="722">
        <v>0</v>
      </c>
      <c r="G17" s="721">
        <v>0</v>
      </c>
      <c r="H17" s="626">
        <f t="shared" si="0"/>
        <v>0</v>
      </c>
    </row>
    <row r="18" spans="1:9">
      <c r="A18" s="487">
        <v>12</v>
      </c>
      <c r="B18" s="476" t="s">
        <v>69</v>
      </c>
      <c r="C18" s="721"/>
      <c r="D18" s="721"/>
      <c r="E18" s="722"/>
      <c r="F18" s="722"/>
      <c r="G18" s="721"/>
      <c r="H18" s="626">
        <f t="shared" si="0"/>
        <v>0</v>
      </c>
    </row>
    <row r="19" spans="1:9">
      <c r="A19" s="488">
        <v>13</v>
      </c>
      <c r="B19" s="478" t="s">
        <v>70</v>
      </c>
      <c r="C19" s="721"/>
      <c r="D19" s="721"/>
      <c r="E19" s="722"/>
      <c r="F19" s="722"/>
      <c r="G19" s="721"/>
      <c r="H19" s="626">
        <f t="shared" si="0"/>
        <v>0</v>
      </c>
    </row>
    <row r="20" spans="1:9">
      <c r="A20" s="487">
        <v>14</v>
      </c>
      <c r="B20" s="476" t="s">
        <v>500</v>
      </c>
      <c r="C20" s="721">
        <v>0</v>
      </c>
      <c r="D20" s="721">
        <v>271089214.9892</v>
      </c>
      <c r="E20" s="722">
        <v>150018.29</v>
      </c>
      <c r="F20" s="722">
        <v>0</v>
      </c>
      <c r="G20" s="721"/>
      <c r="H20" s="626">
        <f t="shared" si="0"/>
        <v>270939196.69919997</v>
      </c>
      <c r="I20" s="662">
        <v>0</v>
      </c>
    </row>
    <row r="21" spans="1:9" s="385" customFormat="1">
      <c r="A21" s="486">
        <v>15</v>
      </c>
      <c r="B21" s="485" t="s">
        <v>66</v>
      </c>
      <c r="C21" s="723">
        <f>SUM(C7:C15)+SUM(C17:C20)</f>
        <v>112736161.91</v>
      </c>
      <c r="D21" s="723">
        <f t="shared" ref="D21:G21" si="1">SUM(D7:D15)+SUM(D17:D20)</f>
        <v>362814413.96611506</v>
      </c>
      <c r="E21" s="723">
        <f>SUM(E7:E15)+SUM(E17:E20)</f>
        <v>17268448.017938044</v>
      </c>
      <c r="F21" s="723">
        <f t="shared" si="1"/>
        <v>0</v>
      </c>
      <c r="G21" s="723">
        <f t="shared" si="1"/>
        <v>0</v>
      </c>
      <c r="H21" s="626">
        <f t="shared" ref="H21" si="2">SUM(H7:H15)+SUM(H17:H20)</f>
        <v>458282127.85817695</v>
      </c>
    </row>
    <row r="22" spans="1:9">
      <c r="A22" s="484">
        <v>16</v>
      </c>
      <c r="B22" s="483" t="s">
        <v>515</v>
      </c>
      <c r="C22" s="721">
        <f>SUM(C13,C15,C14)</f>
        <v>112736161.91</v>
      </c>
      <c r="D22" s="721">
        <f>SUM(D13,D15,D14)</f>
        <v>84695798.976915061</v>
      </c>
      <c r="E22" s="721">
        <f>SUM(E13,E15,E14)</f>
        <v>17118287.727938045</v>
      </c>
      <c r="F22" s="722">
        <v>0</v>
      </c>
      <c r="G22" s="721"/>
      <c r="H22" s="626">
        <f>C22+D22-E22-F22</f>
        <v>180313673.158977</v>
      </c>
    </row>
    <row r="23" spans="1:9">
      <c r="A23" s="484">
        <v>17</v>
      </c>
      <c r="B23" s="483" t="s">
        <v>516</v>
      </c>
      <c r="C23" s="665"/>
      <c r="D23" s="665"/>
      <c r="E23" s="627"/>
      <c r="F23" s="627"/>
      <c r="G23" s="665"/>
      <c r="H23" s="626">
        <f>C23+D23-E23-F23</f>
        <v>0</v>
      </c>
    </row>
    <row r="24" spans="1:9">
      <c r="C24" s="685">
        <f>C22-'24. Risk Sector'!F33</f>
        <v>0.46333497762680054</v>
      </c>
      <c r="D24" s="685"/>
      <c r="E24" s="686">
        <v>0</v>
      </c>
      <c r="F24" s="686"/>
      <c r="G24" s="685"/>
      <c r="H24" s="685">
        <f>H21-'7. LI1'!C37</f>
        <v>0.23077291250228882</v>
      </c>
    </row>
    <row r="25" spans="1:9">
      <c r="E25" s="380"/>
      <c r="F25" s="380"/>
      <c r="H25" s="662">
        <f>'2. SOFP'!E36-H21</f>
        <v>-0.23077297210693359</v>
      </c>
    </row>
    <row r="26" spans="1:9" ht="42.6" customHeight="1">
      <c r="B26" s="400" t="s">
        <v>678</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showGridLines="0" zoomScale="70" zoomScaleNormal="70" workbookViewId="0">
      <selection activeCell="D33" sqref="D33"/>
    </sheetView>
  </sheetViews>
  <sheetFormatPr defaultColWidth="9.28515625" defaultRowHeight="12.75"/>
  <cols>
    <col min="1" max="1" width="11" style="380" bestFit="1" customWidth="1"/>
    <col min="2" max="2" width="54" style="380" customWidth="1"/>
    <col min="3" max="3" width="35" style="380" customWidth="1"/>
    <col min="4" max="4" width="35.140625" style="380" customWidth="1"/>
    <col min="5" max="5" width="22" style="380" customWidth="1"/>
    <col min="6" max="6" width="16.140625" style="380" customWidth="1"/>
    <col min="7" max="7" width="17.85546875" style="380" customWidth="1"/>
    <col min="8" max="8" width="29.7109375" style="380" bestFit="1" customWidth="1"/>
    <col min="9" max="9" width="12.42578125" style="380" bestFit="1" customWidth="1"/>
    <col min="10" max="16384" width="9.28515625" style="380"/>
  </cols>
  <sheetData>
    <row r="1" spans="1:8" ht="13.5">
      <c r="A1" s="379" t="s">
        <v>108</v>
      </c>
      <c r="B1" s="306" t="str">
        <f>Info!C2</f>
        <v>JSC "VTB Bank (Georgia)"</v>
      </c>
      <c r="C1" s="492"/>
      <c r="D1" s="492"/>
      <c r="E1" s="492"/>
      <c r="F1" s="492"/>
      <c r="G1" s="492"/>
      <c r="H1" s="492"/>
    </row>
    <row r="2" spans="1:8">
      <c r="A2" s="381" t="s">
        <v>109</v>
      </c>
      <c r="B2" s="383">
        <f>Info!D2</f>
        <v>45565</v>
      </c>
      <c r="C2" s="492"/>
      <c r="D2" s="492"/>
      <c r="E2" s="492"/>
      <c r="F2" s="492"/>
      <c r="G2" s="492"/>
      <c r="H2" s="492"/>
    </row>
    <row r="3" spans="1:8">
      <c r="A3" s="382" t="s">
        <v>517</v>
      </c>
      <c r="B3" s="492"/>
      <c r="C3" s="492"/>
      <c r="D3" s="492"/>
      <c r="E3" s="492"/>
      <c r="F3" s="492"/>
      <c r="G3" s="492"/>
      <c r="H3" s="492"/>
    </row>
    <row r="4" spans="1:8" ht="14.45" customHeight="1">
      <c r="A4" s="492"/>
      <c r="B4" s="492"/>
      <c r="C4" s="491" t="s">
        <v>502</v>
      </c>
      <c r="D4" s="491" t="s">
        <v>503</v>
      </c>
      <c r="E4" s="491" t="s">
        <v>504</v>
      </c>
      <c r="F4" s="491" t="s">
        <v>505</v>
      </c>
      <c r="G4" s="491" t="s">
        <v>506</v>
      </c>
      <c r="H4" s="491" t="s">
        <v>507</v>
      </c>
    </row>
    <row r="5" spans="1:8" ht="27.6" customHeight="1">
      <c r="A5" s="868" t="s">
        <v>869</v>
      </c>
      <c r="B5" s="869"/>
      <c r="C5" s="883" t="s">
        <v>596</v>
      </c>
      <c r="D5" s="884"/>
      <c r="E5" s="880" t="s">
        <v>866</v>
      </c>
      <c r="F5" s="880" t="s">
        <v>865</v>
      </c>
      <c r="G5" s="880" t="s">
        <v>511</v>
      </c>
      <c r="H5" s="489" t="s">
        <v>864</v>
      </c>
    </row>
    <row r="6" spans="1:8" ht="40.9" customHeight="1">
      <c r="A6" s="872"/>
      <c r="B6" s="873"/>
      <c r="C6" s="490" t="s">
        <v>512</v>
      </c>
      <c r="D6" s="490" t="s">
        <v>513</v>
      </c>
      <c r="E6" s="881"/>
      <c r="F6" s="881"/>
      <c r="G6" s="881"/>
      <c r="H6" s="489" t="s">
        <v>863</v>
      </c>
    </row>
    <row r="7" spans="1:8">
      <c r="A7" s="481">
        <v>1</v>
      </c>
      <c r="B7" s="496" t="s">
        <v>518</v>
      </c>
      <c r="C7" s="721">
        <v>0</v>
      </c>
      <c r="D7" s="721">
        <v>322960.28000000003</v>
      </c>
      <c r="E7" s="721">
        <v>6319.5573404444503</v>
      </c>
      <c r="F7" s="721"/>
      <c r="G7" s="665"/>
      <c r="H7" s="626">
        <f t="shared" ref="H7:H34" si="0">C7+D7-E7-F7</f>
        <v>316640.72265955555</v>
      </c>
    </row>
    <row r="8" spans="1:8">
      <c r="A8" s="481">
        <v>2</v>
      </c>
      <c r="B8" s="496" t="s">
        <v>519</v>
      </c>
      <c r="C8" s="721">
        <v>0</v>
      </c>
      <c r="D8" s="721">
        <v>7029049</v>
      </c>
      <c r="E8" s="721">
        <v>142</v>
      </c>
      <c r="F8" s="721"/>
      <c r="G8" s="665"/>
      <c r="H8" s="626">
        <f t="shared" si="0"/>
        <v>7028907</v>
      </c>
    </row>
    <row r="9" spans="1:8">
      <c r="A9" s="481">
        <v>3</v>
      </c>
      <c r="B9" s="496" t="s">
        <v>868</v>
      </c>
      <c r="C9" s="721">
        <v>7415081.0903000003</v>
      </c>
      <c r="D9" s="721">
        <v>0</v>
      </c>
      <c r="E9" s="721">
        <v>875945.2674323367</v>
      </c>
      <c r="F9" s="721"/>
      <c r="G9" s="665"/>
      <c r="H9" s="626">
        <f t="shared" si="0"/>
        <v>6539135.8228676636</v>
      </c>
    </row>
    <row r="10" spans="1:8">
      <c r="A10" s="481">
        <v>4</v>
      </c>
      <c r="B10" s="496" t="s">
        <v>520</v>
      </c>
      <c r="C10" s="721">
        <v>721646.66716499999</v>
      </c>
      <c r="D10" s="721">
        <v>6066255.7423</v>
      </c>
      <c r="E10" s="721">
        <v>183972.89652272448</v>
      </c>
      <c r="F10" s="721"/>
      <c r="G10" s="665"/>
      <c r="H10" s="626">
        <f t="shared" si="0"/>
        <v>6603929.512942276</v>
      </c>
    </row>
    <row r="11" spans="1:8">
      <c r="A11" s="481">
        <v>5</v>
      </c>
      <c r="B11" s="496" t="s">
        <v>521</v>
      </c>
      <c r="C11" s="721">
        <v>0</v>
      </c>
      <c r="D11" s="721">
        <v>0</v>
      </c>
      <c r="E11" s="721">
        <v>0</v>
      </c>
      <c r="F11" s="721"/>
      <c r="G11" s="665"/>
      <c r="H11" s="626">
        <f t="shared" si="0"/>
        <v>0</v>
      </c>
    </row>
    <row r="12" spans="1:8">
      <c r="A12" s="481">
        <v>6</v>
      </c>
      <c r="B12" s="496" t="s">
        <v>522</v>
      </c>
      <c r="C12" s="721">
        <v>0</v>
      </c>
      <c r="D12" s="721">
        <v>0</v>
      </c>
      <c r="E12" s="721">
        <v>0</v>
      </c>
      <c r="F12" s="721"/>
      <c r="G12" s="665"/>
      <c r="H12" s="626">
        <f t="shared" si="0"/>
        <v>0</v>
      </c>
    </row>
    <row r="13" spans="1:8">
      <c r="A13" s="481">
        <v>7</v>
      </c>
      <c r="B13" s="496" t="s">
        <v>523</v>
      </c>
      <c r="C13" s="721">
        <v>41004744.332200013</v>
      </c>
      <c r="D13" s="721">
        <v>8660330.4670000002</v>
      </c>
      <c r="E13" s="721">
        <v>1399105.8748413408</v>
      </c>
      <c r="F13" s="721"/>
      <c r="G13" s="665"/>
      <c r="H13" s="626">
        <f t="shared" si="0"/>
        <v>48265968.924358673</v>
      </c>
    </row>
    <row r="14" spans="1:8">
      <c r="A14" s="481">
        <v>8</v>
      </c>
      <c r="B14" s="496" t="s">
        <v>524</v>
      </c>
      <c r="C14" s="721">
        <v>30863040.963</v>
      </c>
      <c r="D14" s="721">
        <v>3014564.6231129998</v>
      </c>
      <c r="E14" s="721">
        <v>3035437.1640412975</v>
      </c>
      <c r="F14" s="721"/>
      <c r="G14" s="665"/>
      <c r="H14" s="626">
        <f t="shared" si="0"/>
        <v>30842168.422071703</v>
      </c>
    </row>
    <row r="15" spans="1:8">
      <c r="A15" s="481">
        <v>9</v>
      </c>
      <c r="B15" s="496" t="s">
        <v>525</v>
      </c>
      <c r="C15" s="721">
        <v>7443.65</v>
      </c>
      <c r="D15" s="721">
        <v>0</v>
      </c>
      <c r="E15" s="721">
        <v>678.80697983518746</v>
      </c>
      <c r="F15" s="721"/>
      <c r="G15" s="665"/>
      <c r="H15" s="626">
        <f t="shared" si="0"/>
        <v>6764.8430201648125</v>
      </c>
    </row>
    <row r="16" spans="1:8" ht="25.5">
      <c r="A16" s="481">
        <v>10</v>
      </c>
      <c r="B16" s="496" t="s">
        <v>526</v>
      </c>
      <c r="C16" s="721">
        <v>0</v>
      </c>
      <c r="D16" s="721">
        <v>0</v>
      </c>
      <c r="E16" s="721">
        <v>0</v>
      </c>
      <c r="F16" s="721"/>
      <c r="G16" s="665"/>
      <c r="H16" s="626">
        <f t="shared" si="0"/>
        <v>0</v>
      </c>
    </row>
    <row r="17" spans="1:9">
      <c r="A17" s="481">
        <v>11</v>
      </c>
      <c r="B17" s="496" t="s">
        <v>527</v>
      </c>
      <c r="C17" s="721">
        <v>841843.22</v>
      </c>
      <c r="D17" s="721">
        <v>5331141.7725</v>
      </c>
      <c r="E17" s="721">
        <v>599438.57063651248</v>
      </c>
      <c r="F17" s="721"/>
      <c r="G17" s="665"/>
      <c r="H17" s="626">
        <f t="shared" si="0"/>
        <v>5573546.421863487</v>
      </c>
    </row>
    <row r="18" spans="1:9">
      <c r="A18" s="481">
        <v>12</v>
      </c>
      <c r="B18" s="496" t="s">
        <v>528</v>
      </c>
      <c r="C18" s="721">
        <v>0</v>
      </c>
      <c r="D18" s="721">
        <v>4045789.321831</v>
      </c>
      <c r="E18" s="721">
        <v>71877.368515134454</v>
      </c>
      <c r="F18" s="721"/>
      <c r="G18" s="665"/>
      <c r="H18" s="626">
        <f t="shared" si="0"/>
        <v>3973911.9533158657</v>
      </c>
    </row>
    <row r="19" spans="1:9">
      <c r="A19" s="481">
        <v>13</v>
      </c>
      <c r="B19" s="496" t="s">
        <v>529</v>
      </c>
      <c r="C19" s="721">
        <v>10068691.220000001</v>
      </c>
      <c r="D19" s="721">
        <v>27458039.054000996</v>
      </c>
      <c r="E19" s="721">
        <v>3045651.3409574232</v>
      </c>
      <c r="F19" s="721"/>
      <c r="G19" s="665"/>
      <c r="H19" s="626">
        <f t="shared" si="0"/>
        <v>34481078.933043569</v>
      </c>
    </row>
    <row r="20" spans="1:9">
      <c r="A20" s="481">
        <v>14</v>
      </c>
      <c r="B20" s="496" t="s">
        <v>530</v>
      </c>
      <c r="C20" s="721">
        <v>0</v>
      </c>
      <c r="D20" s="721">
        <v>0</v>
      </c>
      <c r="E20" s="721">
        <v>0</v>
      </c>
      <c r="F20" s="721"/>
      <c r="G20" s="665"/>
      <c r="H20" s="626">
        <f t="shared" si="0"/>
        <v>0</v>
      </c>
    </row>
    <row r="21" spans="1:9">
      <c r="A21" s="481">
        <v>15</v>
      </c>
      <c r="B21" s="496" t="s">
        <v>531</v>
      </c>
      <c r="C21" s="721">
        <v>0</v>
      </c>
      <c r="D21" s="721">
        <v>0</v>
      </c>
      <c r="E21" s="721">
        <v>0</v>
      </c>
      <c r="F21" s="721"/>
      <c r="G21" s="665"/>
      <c r="H21" s="626">
        <f t="shared" si="0"/>
        <v>0</v>
      </c>
    </row>
    <row r="22" spans="1:9">
      <c r="A22" s="481">
        <v>16</v>
      </c>
      <c r="B22" s="496" t="s">
        <v>532</v>
      </c>
      <c r="C22" s="721">
        <v>3844599.5600999999</v>
      </c>
      <c r="D22" s="721">
        <v>13250478.102685999</v>
      </c>
      <c r="E22" s="721">
        <v>2003103.2771830817</v>
      </c>
      <c r="F22" s="721"/>
      <c r="G22" s="665"/>
      <c r="H22" s="626">
        <f t="shared" si="0"/>
        <v>15091974.385602918</v>
      </c>
    </row>
    <row r="23" spans="1:9">
      <c r="A23" s="481">
        <v>17</v>
      </c>
      <c r="B23" s="496" t="s">
        <v>533</v>
      </c>
      <c r="C23" s="721">
        <v>0</v>
      </c>
      <c r="D23" s="721">
        <v>0</v>
      </c>
      <c r="E23" s="721">
        <v>0</v>
      </c>
      <c r="F23" s="721"/>
      <c r="G23" s="665"/>
      <c r="H23" s="626">
        <f t="shared" si="0"/>
        <v>0</v>
      </c>
    </row>
    <row r="24" spans="1:9">
      <c r="A24" s="481">
        <v>18</v>
      </c>
      <c r="B24" s="496" t="s">
        <v>534</v>
      </c>
      <c r="C24" s="721">
        <v>0</v>
      </c>
      <c r="D24" s="721">
        <v>0</v>
      </c>
      <c r="E24" s="721">
        <v>0</v>
      </c>
      <c r="F24" s="721"/>
      <c r="G24" s="665"/>
      <c r="H24" s="626">
        <f t="shared" si="0"/>
        <v>0</v>
      </c>
    </row>
    <row r="25" spans="1:9">
      <c r="A25" s="481">
        <v>19</v>
      </c>
      <c r="B25" s="496" t="s">
        <v>535</v>
      </c>
      <c r="C25" s="721">
        <v>0</v>
      </c>
      <c r="D25" s="721">
        <v>7656599.5199999996</v>
      </c>
      <c r="E25" s="721">
        <v>6868.043724571271</v>
      </c>
      <c r="F25" s="721"/>
      <c r="G25" s="665"/>
      <c r="H25" s="626">
        <f t="shared" si="0"/>
        <v>7649731.4762754282</v>
      </c>
    </row>
    <row r="26" spans="1:9">
      <c r="A26" s="481">
        <v>20</v>
      </c>
      <c r="B26" s="496" t="s">
        <v>536</v>
      </c>
      <c r="C26" s="721">
        <v>0</v>
      </c>
      <c r="D26" s="721">
        <v>0</v>
      </c>
      <c r="E26" s="721">
        <v>0</v>
      </c>
      <c r="F26" s="721"/>
      <c r="G26" s="665"/>
      <c r="H26" s="626">
        <f t="shared" si="0"/>
        <v>0</v>
      </c>
      <c r="I26" s="387"/>
    </row>
    <row r="27" spans="1:9">
      <c r="A27" s="481">
        <v>21</v>
      </c>
      <c r="B27" s="496" t="s">
        <v>537</v>
      </c>
      <c r="C27" s="721">
        <v>0</v>
      </c>
      <c r="D27" s="721">
        <v>0</v>
      </c>
      <c r="E27" s="721">
        <v>0</v>
      </c>
      <c r="F27" s="721"/>
      <c r="G27" s="665"/>
      <c r="H27" s="626">
        <f t="shared" si="0"/>
        <v>0</v>
      </c>
      <c r="I27" s="387"/>
    </row>
    <row r="28" spans="1:9">
      <c r="A28" s="481">
        <v>22</v>
      </c>
      <c r="B28" s="496" t="s">
        <v>538</v>
      </c>
      <c r="C28" s="721">
        <v>12683745.3498</v>
      </c>
      <c r="D28" s="721">
        <v>256332.34992000001</v>
      </c>
      <c r="E28" s="721">
        <v>4262437.6796531174</v>
      </c>
      <c r="F28" s="721"/>
      <c r="G28" s="665"/>
      <c r="H28" s="626">
        <f t="shared" si="0"/>
        <v>8677640.0200668834</v>
      </c>
      <c r="I28" s="387"/>
    </row>
    <row r="29" spans="1:9">
      <c r="A29" s="481">
        <v>23</v>
      </c>
      <c r="B29" s="496" t="s">
        <v>539</v>
      </c>
      <c r="C29" s="721">
        <v>4657444.8334999997</v>
      </c>
      <c r="D29" s="721">
        <v>828256.53139999998</v>
      </c>
      <c r="E29" s="721">
        <v>1230380.4599704994</v>
      </c>
      <c r="F29" s="721"/>
      <c r="G29" s="665"/>
      <c r="H29" s="626">
        <f t="shared" si="0"/>
        <v>4255320.9049295001</v>
      </c>
      <c r="I29" s="387"/>
    </row>
    <row r="30" spans="1:9">
      <c r="A30" s="481">
        <v>24</v>
      </c>
      <c r="B30" s="496" t="s">
        <v>540</v>
      </c>
      <c r="C30" s="721">
        <v>0</v>
      </c>
      <c r="D30" s="721">
        <v>0</v>
      </c>
      <c r="E30" s="721">
        <v>0</v>
      </c>
      <c r="F30" s="721"/>
      <c r="G30" s="665"/>
      <c r="H30" s="626">
        <f t="shared" si="0"/>
        <v>0</v>
      </c>
      <c r="I30" s="387"/>
    </row>
    <row r="31" spans="1:9">
      <c r="A31" s="481">
        <v>25</v>
      </c>
      <c r="B31" s="496" t="s">
        <v>541</v>
      </c>
      <c r="C31" s="721">
        <v>627880.56059999985</v>
      </c>
      <c r="D31" s="721">
        <v>7805051</v>
      </c>
      <c r="E31" s="721">
        <v>397071</v>
      </c>
      <c r="F31" s="721"/>
      <c r="G31" s="665"/>
      <c r="H31" s="626">
        <f t="shared" si="0"/>
        <v>8035860.5605999995</v>
      </c>
      <c r="I31" s="387"/>
    </row>
    <row r="32" spans="1:9" ht="25.5">
      <c r="A32" s="481">
        <v>26</v>
      </c>
      <c r="B32" s="496" t="s">
        <v>542</v>
      </c>
      <c r="C32" s="721">
        <v>0</v>
      </c>
      <c r="D32" s="721">
        <v>0</v>
      </c>
      <c r="E32" s="721">
        <v>0</v>
      </c>
      <c r="F32" s="721"/>
      <c r="G32" s="665"/>
      <c r="H32" s="626">
        <f t="shared" si="0"/>
        <v>0</v>
      </c>
      <c r="I32" s="387"/>
    </row>
    <row r="33" spans="1:9">
      <c r="A33" s="481">
        <v>27</v>
      </c>
      <c r="B33" s="482" t="s">
        <v>99</v>
      </c>
      <c r="C33" s="721">
        <v>0</v>
      </c>
      <c r="D33" s="721">
        <v>271089566</v>
      </c>
      <c r="E33" s="721">
        <v>150019</v>
      </c>
      <c r="F33" s="665">
        <f>'18. Assets by Exposure classes'!F20</f>
        <v>0</v>
      </c>
      <c r="G33" s="665"/>
      <c r="H33" s="626">
        <f t="shared" si="0"/>
        <v>270939547</v>
      </c>
      <c r="I33" s="796">
        <f>H33-'18. Assets by Exposure classes'!H20</f>
        <v>350.3008000254631</v>
      </c>
    </row>
    <row r="34" spans="1:9">
      <c r="A34" s="481">
        <v>28</v>
      </c>
      <c r="B34" s="495" t="s">
        <v>66</v>
      </c>
      <c r="C34" s="664">
        <f>SUM(C7:C33)</f>
        <v>112736161.44666502</v>
      </c>
      <c r="D34" s="664">
        <f>SUM(D7:D33)</f>
        <v>362814413.76475096</v>
      </c>
      <c r="E34" s="664">
        <f>SUM(E7:E33)</f>
        <v>17268448.307798319</v>
      </c>
      <c r="F34" s="664">
        <f>SUM(F7:F33)</f>
        <v>0</v>
      </c>
      <c r="G34" s="664">
        <f>SUM(G7:G33)</f>
        <v>0</v>
      </c>
      <c r="H34" s="626">
        <f t="shared" si="0"/>
        <v>458282126.90361768</v>
      </c>
      <c r="I34" s="387"/>
    </row>
    <row r="35" spans="1:9">
      <c r="A35" s="387"/>
      <c r="B35" s="387"/>
      <c r="C35" s="622">
        <f>C34-'18. Assets by Exposure classes'!C21</f>
        <v>-0.46333497762680054</v>
      </c>
      <c r="D35" s="625"/>
      <c r="E35" s="622">
        <f>SUM(E7:E31)-'18. Assets by Exposure classes'!E22-E8</f>
        <v>-0.42013972625136375</v>
      </c>
      <c r="F35" s="622">
        <f>SUM(F7:F31)-'18. Assets by Exposure classes'!F22</f>
        <v>0</v>
      </c>
      <c r="G35" s="625"/>
      <c r="H35" s="622">
        <f>H34-'18. Assets by Exposure classes'!H21</f>
        <v>-0.95455926656723022</v>
      </c>
      <c r="I35" s="387"/>
    </row>
    <row r="36" spans="1:9">
      <c r="A36" s="387"/>
      <c r="B36" s="388"/>
      <c r="C36" s="625"/>
      <c r="D36" s="625"/>
      <c r="E36" s="622"/>
      <c r="F36" s="625"/>
      <c r="G36" s="625"/>
      <c r="H36" s="625"/>
      <c r="I36" s="387"/>
    </row>
    <row r="37" spans="1:9">
      <c r="C37" s="685"/>
      <c r="D37" s="685"/>
      <c r="E37" s="685"/>
      <c r="F37" s="685"/>
      <c r="G37" s="685"/>
      <c r="H37" s="685"/>
    </row>
    <row r="38" spans="1:9">
      <c r="C38" s="685"/>
      <c r="D38" s="685"/>
      <c r="E38" s="685"/>
      <c r="F38" s="685"/>
      <c r="G38" s="685"/>
      <c r="H38" s="685"/>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7"/>
  <sheetViews>
    <sheetView showGridLines="0" zoomScale="80" zoomScaleNormal="80" workbookViewId="0">
      <selection activeCell="C6" sqref="C6:C14"/>
    </sheetView>
  </sheetViews>
  <sheetFormatPr defaultColWidth="9.28515625" defaultRowHeight="12.75"/>
  <cols>
    <col min="1" max="1" width="11.7109375" style="380" bestFit="1" customWidth="1"/>
    <col min="2" max="2" width="108" style="380" bestFit="1" customWidth="1"/>
    <col min="3" max="3" width="35.5703125" style="380" customWidth="1"/>
    <col min="4" max="4" width="38.42578125" style="386" customWidth="1"/>
    <col min="5" max="16384" width="9.28515625" style="380"/>
  </cols>
  <sheetData>
    <row r="1" spans="1:4" ht="13.5">
      <c r="A1" s="379" t="s">
        <v>108</v>
      </c>
      <c r="B1" s="306" t="str">
        <f>Info!C2</f>
        <v>JSC "VTB Bank (Georgia)"</v>
      </c>
      <c r="D1" s="380"/>
    </row>
    <row r="2" spans="1:4">
      <c r="A2" s="381" t="s">
        <v>109</v>
      </c>
      <c r="B2" s="383">
        <f>Info!D2</f>
        <v>45565</v>
      </c>
      <c r="D2" s="380"/>
    </row>
    <row r="3" spans="1:4">
      <c r="A3" s="382" t="s">
        <v>543</v>
      </c>
      <c r="D3" s="380"/>
    </row>
    <row r="5" spans="1:4">
      <c r="A5" s="885" t="s">
        <v>880</v>
      </c>
      <c r="B5" s="885"/>
      <c r="C5" s="504" t="s">
        <v>562</v>
      </c>
      <c r="D5" s="504" t="s">
        <v>879</v>
      </c>
    </row>
    <row r="6" spans="1:4">
      <c r="A6" s="503">
        <v>1</v>
      </c>
      <c r="B6" s="497" t="s">
        <v>878</v>
      </c>
      <c r="C6" s="623">
        <v>16332895.890969127</v>
      </c>
      <c r="D6" s="727">
        <v>0</v>
      </c>
    </row>
    <row r="7" spans="1:4">
      <c r="A7" s="500">
        <v>2</v>
      </c>
      <c r="B7" s="497" t="s">
        <v>877</v>
      </c>
      <c r="C7" s="624">
        <f>SUM(C8:C9)</f>
        <v>0</v>
      </c>
      <c r="D7" s="728">
        <f>SUM(D8:D9)</f>
        <v>0</v>
      </c>
    </row>
    <row r="8" spans="1:4">
      <c r="A8" s="502">
        <v>2.1</v>
      </c>
      <c r="B8" s="501" t="s">
        <v>876</v>
      </c>
      <c r="C8" s="624"/>
      <c r="D8" s="728"/>
    </row>
    <row r="9" spans="1:4">
      <c r="A9" s="502">
        <v>2.2000000000000002</v>
      </c>
      <c r="B9" s="501" t="s">
        <v>875</v>
      </c>
      <c r="C9" s="624">
        <v>0</v>
      </c>
      <c r="D9" s="728"/>
    </row>
    <row r="10" spans="1:4">
      <c r="A10" s="503">
        <v>3</v>
      </c>
      <c r="B10" s="497" t="s">
        <v>874</v>
      </c>
      <c r="C10" s="624">
        <f>SUM(C11:C13)</f>
        <v>0</v>
      </c>
      <c r="D10" s="728">
        <f>SUM(D11:D13)</f>
        <v>0</v>
      </c>
    </row>
    <row r="11" spans="1:4">
      <c r="A11" s="502">
        <v>3.1</v>
      </c>
      <c r="B11" s="501" t="s">
        <v>544</v>
      </c>
      <c r="C11" s="624"/>
      <c r="D11" s="728">
        <v>0</v>
      </c>
    </row>
    <row r="12" spans="1:4">
      <c r="A12" s="502">
        <v>3.2</v>
      </c>
      <c r="B12" s="501" t="s">
        <v>873</v>
      </c>
      <c r="C12" s="624">
        <v>0</v>
      </c>
      <c r="D12" s="728"/>
    </row>
    <row r="13" spans="1:4">
      <c r="A13" s="502">
        <v>3.3</v>
      </c>
      <c r="B13" s="501" t="s">
        <v>872</v>
      </c>
      <c r="C13" s="624"/>
      <c r="D13" s="728"/>
    </row>
    <row r="14" spans="1:4">
      <c r="A14" s="500">
        <v>4</v>
      </c>
      <c r="B14" s="499" t="s">
        <v>871</v>
      </c>
      <c r="C14" s="624">
        <v>785533.84</v>
      </c>
      <c r="D14" s="728"/>
    </row>
    <row r="15" spans="1:4">
      <c r="A15" s="498">
        <v>5</v>
      </c>
      <c r="B15" s="497" t="s">
        <v>870</v>
      </c>
      <c r="C15" s="623">
        <f>C6+C7-C10+C14</f>
        <v>17118429.730969127</v>
      </c>
      <c r="D15" s="727">
        <f>D6+D7-D10+D14</f>
        <v>0</v>
      </c>
    </row>
    <row r="16" spans="1:4">
      <c r="C16" s="621">
        <f>C15-SUM('19. Assets by Risk Sectors'!E7:E32)-SUM('19. Assets by Risk Sectors'!F7:F32)</f>
        <v>0.42317080870270729</v>
      </c>
    </row>
    <row r="17" spans="3:3">
      <c r="C17" s="630"/>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3"/>
  <sheetViews>
    <sheetView showGridLines="0" zoomScale="80" zoomScaleNormal="80" workbookViewId="0">
      <selection activeCell="C8" sqref="C7:C8"/>
    </sheetView>
  </sheetViews>
  <sheetFormatPr defaultColWidth="9.28515625" defaultRowHeight="12.75"/>
  <cols>
    <col min="1" max="1" width="11.7109375" style="492" bestFit="1" customWidth="1"/>
    <col min="2" max="2" width="128.85546875" style="492" bestFit="1" customWidth="1"/>
    <col min="3" max="3" width="37" style="492" customWidth="1"/>
    <col min="4" max="4" width="50.5703125" style="492" customWidth="1"/>
    <col min="5" max="16384" width="9.28515625" style="492"/>
  </cols>
  <sheetData>
    <row r="1" spans="1:5" ht="13.5">
      <c r="A1" s="379" t="s">
        <v>108</v>
      </c>
      <c r="B1" s="306" t="str">
        <f>Info!C2</f>
        <v>JSC "VTB Bank (Georgia)"</v>
      </c>
    </row>
    <row r="2" spans="1:5">
      <c r="A2" s="381" t="s">
        <v>109</v>
      </c>
      <c r="B2" s="383">
        <f>Info!D2</f>
        <v>45565</v>
      </c>
    </row>
    <row r="3" spans="1:5">
      <c r="A3" s="382" t="s">
        <v>545</v>
      </c>
    </row>
    <row r="4" spans="1:5">
      <c r="A4" s="382"/>
    </row>
    <row r="5" spans="1:5" ht="15" customHeight="1">
      <c r="A5" s="886" t="s">
        <v>546</v>
      </c>
      <c r="B5" s="887"/>
      <c r="C5" s="890" t="s">
        <v>547</v>
      </c>
      <c r="D5" s="890" t="s">
        <v>548</v>
      </c>
    </row>
    <row r="6" spans="1:5">
      <c r="A6" s="888"/>
      <c r="B6" s="889"/>
      <c r="C6" s="890"/>
      <c r="D6" s="890"/>
    </row>
    <row r="7" spans="1:5">
      <c r="A7" s="495">
        <v>1</v>
      </c>
      <c r="B7" s="485" t="s">
        <v>549</v>
      </c>
      <c r="C7" s="723">
        <v>100663624.80359496</v>
      </c>
      <c r="D7" s="505"/>
    </row>
    <row r="8" spans="1:5">
      <c r="A8" s="482">
        <v>2</v>
      </c>
      <c r="B8" s="482" t="s">
        <v>550</v>
      </c>
      <c r="C8" s="721">
        <v>12072537</v>
      </c>
      <c r="D8" s="505"/>
    </row>
    <row r="9" spans="1:5">
      <c r="A9" s="482">
        <v>3</v>
      </c>
      <c r="B9" s="508" t="s">
        <v>551</v>
      </c>
      <c r="C9" s="721">
        <v>0</v>
      </c>
      <c r="D9" s="505"/>
    </row>
    <row r="10" spans="1:5">
      <c r="A10" s="482">
        <v>4</v>
      </c>
      <c r="B10" s="482" t="s">
        <v>552</v>
      </c>
      <c r="C10" s="721">
        <f>SUM(C11:C17)</f>
        <v>0</v>
      </c>
      <c r="D10" s="505"/>
    </row>
    <row r="11" spans="1:5">
      <c r="A11" s="482">
        <v>5</v>
      </c>
      <c r="B11" s="507" t="s">
        <v>881</v>
      </c>
      <c r="C11" s="721">
        <v>0</v>
      </c>
      <c r="D11" s="505"/>
    </row>
    <row r="12" spans="1:5">
      <c r="A12" s="482">
        <v>6</v>
      </c>
      <c r="B12" s="507" t="s">
        <v>553</v>
      </c>
      <c r="C12" s="721">
        <v>0</v>
      </c>
      <c r="D12" s="505"/>
    </row>
    <row r="13" spans="1:5">
      <c r="A13" s="482">
        <v>7</v>
      </c>
      <c r="B13" s="507" t="s">
        <v>556</v>
      </c>
      <c r="C13" s="721">
        <v>0</v>
      </c>
      <c r="D13" s="505"/>
      <c r="E13" s="662">
        <f>C13-'18. Assets by Exposure classes'!H11</f>
        <v>0</v>
      </c>
    </row>
    <row r="14" spans="1:5">
      <c r="A14" s="482">
        <v>8</v>
      </c>
      <c r="B14" s="507" t="s">
        <v>554</v>
      </c>
      <c r="C14" s="721">
        <v>0</v>
      </c>
      <c r="D14" s="482"/>
    </row>
    <row r="15" spans="1:5">
      <c r="A15" s="482">
        <v>9</v>
      </c>
      <c r="B15" s="507" t="s">
        <v>555</v>
      </c>
      <c r="C15" s="721">
        <v>0</v>
      </c>
      <c r="D15" s="482"/>
    </row>
    <row r="16" spans="1:5">
      <c r="A16" s="482">
        <v>10</v>
      </c>
      <c r="B16" s="507" t="s">
        <v>557</v>
      </c>
      <c r="C16" s="721">
        <v>0</v>
      </c>
      <c r="D16" s="482"/>
    </row>
    <row r="17" spans="1:4" ht="25.5">
      <c r="A17" s="482">
        <v>11</v>
      </c>
      <c r="B17" s="507" t="s">
        <v>558</v>
      </c>
      <c r="C17" s="721">
        <v>0</v>
      </c>
      <c r="D17" s="505"/>
    </row>
    <row r="18" spans="1:4">
      <c r="A18" s="495">
        <v>12</v>
      </c>
      <c r="B18" s="506" t="s">
        <v>559</v>
      </c>
      <c r="C18" s="723">
        <f>C7+C8+C9-C10</f>
        <v>112736161.80359496</v>
      </c>
      <c r="D18" s="505"/>
    </row>
    <row r="19" spans="1:4">
      <c r="C19" s="797">
        <f>C18-'18. Assets by Exposure classes'!C22</f>
        <v>-0.10640503466129303</v>
      </c>
    </row>
    <row r="20" spans="1:4">
      <c r="C20" s="663"/>
    </row>
    <row r="21" spans="1:4">
      <c r="B21" s="379"/>
      <c r="C21" s="663"/>
    </row>
    <row r="22" spans="1:4">
      <c r="B22" s="381"/>
    </row>
    <row r="23" spans="1:4">
      <c r="B23" s="382"/>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topLeftCell="B1" zoomScale="60" zoomScaleNormal="60" workbookViewId="0">
      <selection activeCell="C27" sqref="C27:D27"/>
    </sheetView>
  </sheetViews>
  <sheetFormatPr defaultColWidth="9.28515625" defaultRowHeight="12.75"/>
  <cols>
    <col min="1" max="1" width="11.7109375" style="492" bestFit="1" customWidth="1"/>
    <col min="2" max="2" width="63.85546875" style="492" customWidth="1"/>
    <col min="3" max="3" width="15.5703125" style="492" customWidth="1"/>
    <col min="4" max="18" width="22.28515625" style="492" customWidth="1"/>
    <col min="19" max="19" width="23.28515625" style="492" bestFit="1" customWidth="1"/>
    <col min="20" max="26" width="22.28515625" style="492" customWidth="1"/>
    <col min="27" max="27" width="23.28515625" style="492" bestFit="1" customWidth="1"/>
    <col min="28" max="28" width="20" style="492" customWidth="1"/>
    <col min="29" max="16384" width="9.28515625" style="492"/>
  </cols>
  <sheetData>
    <row r="1" spans="1:28" ht="13.5">
      <c r="A1" s="379" t="s">
        <v>108</v>
      </c>
      <c r="B1" s="306" t="str">
        <f>Info!C2</f>
        <v>JSC "VTB Bank (Georgia)"</v>
      </c>
    </row>
    <row r="2" spans="1:28">
      <c r="A2" s="381" t="s">
        <v>109</v>
      </c>
      <c r="B2" s="383">
        <f>Info!D2</f>
        <v>45565</v>
      </c>
      <c r="C2" s="493"/>
    </row>
    <row r="3" spans="1:28">
      <c r="A3" s="382" t="s">
        <v>560</v>
      </c>
    </row>
    <row r="5" spans="1:28" ht="15" customHeight="1">
      <c r="A5" s="891" t="s">
        <v>894</v>
      </c>
      <c r="B5" s="892"/>
      <c r="C5" s="897" t="s">
        <v>893</v>
      </c>
      <c r="D5" s="898"/>
      <c r="E5" s="898"/>
      <c r="F5" s="898"/>
      <c r="G5" s="898"/>
      <c r="H5" s="898"/>
      <c r="I5" s="898"/>
      <c r="J5" s="898"/>
      <c r="K5" s="898"/>
      <c r="L5" s="898"/>
      <c r="M5" s="898"/>
      <c r="N5" s="898"/>
      <c r="O5" s="898"/>
      <c r="P5" s="898"/>
      <c r="Q5" s="898"/>
      <c r="R5" s="898"/>
      <c r="S5" s="898"/>
      <c r="T5" s="523"/>
      <c r="U5" s="523"/>
      <c r="V5" s="523"/>
      <c r="W5" s="523"/>
      <c r="X5" s="523"/>
      <c r="Y5" s="523"/>
      <c r="Z5" s="523"/>
      <c r="AA5" s="522"/>
      <c r="AB5" s="513"/>
    </row>
    <row r="6" spans="1:28">
      <c r="A6" s="893"/>
      <c r="B6" s="894"/>
      <c r="C6" s="899" t="s">
        <v>66</v>
      </c>
      <c r="D6" s="901" t="s">
        <v>892</v>
      </c>
      <c r="E6" s="901"/>
      <c r="F6" s="901"/>
      <c r="G6" s="901"/>
      <c r="H6" s="902" t="s">
        <v>891</v>
      </c>
      <c r="I6" s="903"/>
      <c r="J6" s="903"/>
      <c r="K6" s="904"/>
      <c r="L6" s="521"/>
      <c r="M6" s="905" t="s">
        <v>890</v>
      </c>
      <c r="N6" s="905"/>
      <c r="O6" s="905"/>
      <c r="P6" s="905"/>
      <c r="Q6" s="905"/>
      <c r="R6" s="905"/>
      <c r="S6" s="881"/>
      <c r="T6" s="520"/>
      <c r="U6" s="884" t="s">
        <v>889</v>
      </c>
      <c r="V6" s="884"/>
      <c r="W6" s="884"/>
      <c r="X6" s="884"/>
      <c r="Y6" s="884"/>
      <c r="Z6" s="884"/>
      <c r="AA6" s="882"/>
      <c r="AB6" s="519"/>
    </row>
    <row r="7" spans="1:28" ht="25.5">
      <c r="A7" s="895"/>
      <c r="B7" s="896"/>
      <c r="C7" s="900"/>
      <c r="D7" s="518"/>
      <c r="E7" s="514" t="s">
        <v>561</v>
      </c>
      <c r="F7" s="489" t="s">
        <v>887</v>
      </c>
      <c r="G7" s="489" t="s">
        <v>888</v>
      </c>
      <c r="H7" s="517"/>
      <c r="I7" s="514" t="s">
        <v>561</v>
      </c>
      <c r="J7" s="489" t="s">
        <v>887</v>
      </c>
      <c r="K7" s="489" t="s">
        <v>888</v>
      </c>
      <c r="L7" s="516"/>
      <c r="M7" s="514" t="s">
        <v>561</v>
      </c>
      <c r="N7" s="489" t="s">
        <v>887</v>
      </c>
      <c r="O7" s="489" t="s">
        <v>886</v>
      </c>
      <c r="P7" s="489" t="s">
        <v>885</v>
      </c>
      <c r="Q7" s="489" t="s">
        <v>884</v>
      </c>
      <c r="R7" s="489" t="s">
        <v>883</v>
      </c>
      <c r="S7" s="489" t="s">
        <v>882</v>
      </c>
      <c r="T7" s="515"/>
      <c r="U7" s="514" t="s">
        <v>561</v>
      </c>
      <c r="V7" s="489" t="s">
        <v>887</v>
      </c>
      <c r="W7" s="489" t="s">
        <v>886</v>
      </c>
      <c r="X7" s="489" t="s">
        <v>885</v>
      </c>
      <c r="Y7" s="489" t="s">
        <v>884</v>
      </c>
      <c r="Z7" s="489" t="s">
        <v>883</v>
      </c>
      <c r="AA7" s="489" t="s">
        <v>882</v>
      </c>
      <c r="AB7" s="513"/>
    </row>
    <row r="8" spans="1:28">
      <c r="A8" s="512">
        <v>1</v>
      </c>
      <c r="B8" s="485" t="s">
        <v>562</v>
      </c>
      <c r="C8" s="693">
        <f>SUM(C9:C14)</f>
        <v>197431962.18424195</v>
      </c>
      <c r="D8" s="693">
        <f t="shared" ref="D8:S8" si="0">SUM(D9:D14)</f>
        <v>61422026.160284996</v>
      </c>
      <c r="E8" s="693">
        <f t="shared" si="0"/>
        <v>61422026.160284996</v>
      </c>
      <c r="F8" s="693">
        <f t="shared" si="0"/>
        <v>0</v>
      </c>
      <c r="G8" s="693">
        <f t="shared" si="0"/>
        <v>0</v>
      </c>
      <c r="H8" s="693">
        <f t="shared" si="0"/>
        <v>23273774.577292003</v>
      </c>
      <c r="I8" s="693">
        <f t="shared" si="0"/>
        <v>21350797.895350002</v>
      </c>
      <c r="J8" s="693">
        <f t="shared" si="0"/>
        <v>1922976.6819420001</v>
      </c>
      <c r="K8" s="693">
        <f t="shared" si="0"/>
        <v>0</v>
      </c>
      <c r="L8" s="693">
        <f t="shared" si="0"/>
        <v>112736161.44666496</v>
      </c>
      <c r="M8" s="693">
        <f t="shared" si="0"/>
        <v>32251749.523000002</v>
      </c>
      <c r="N8" s="693">
        <f t="shared" si="0"/>
        <v>777822.51</v>
      </c>
      <c r="O8" s="693">
        <f t="shared" si="0"/>
        <v>5080780.3900000006</v>
      </c>
      <c r="P8" s="693">
        <f t="shared" si="0"/>
        <v>4578356.2619000003</v>
      </c>
      <c r="Q8" s="693">
        <f t="shared" si="0"/>
        <v>47149844.164265022</v>
      </c>
      <c r="R8" s="693">
        <f t="shared" si="0"/>
        <v>22897608.597499993</v>
      </c>
      <c r="S8" s="693">
        <f t="shared" si="0"/>
        <v>389206.08539999992</v>
      </c>
      <c r="T8" s="693">
        <f t="shared" ref="T8:U8" si="1">SUM(T9:T14)</f>
        <v>0</v>
      </c>
      <c r="U8" s="693">
        <f t="shared" si="1"/>
        <v>0</v>
      </c>
      <c r="V8" s="481"/>
      <c r="W8" s="481"/>
      <c r="X8" s="481"/>
      <c r="Y8" s="481"/>
      <c r="Z8" s="481"/>
      <c r="AA8" s="481"/>
      <c r="AB8" s="509"/>
    </row>
    <row r="9" spans="1:28">
      <c r="A9" s="481">
        <v>1.1000000000000001</v>
      </c>
      <c r="B9" s="511" t="s">
        <v>563</v>
      </c>
      <c r="C9" s="756"/>
      <c r="D9" s="721"/>
      <c r="E9" s="721"/>
      <c r="F9" s="721"/>
      <c r="G9" s="721"/>
      <c r="H9" s="721"/>
      <c r="I9" s="721"/>
      <c r="J9" s="721"/>
      <c r="K9" s="721"/>
      <c r="L9" s="721"/>
      <c r="M9" s="721"/>
      <c r="N9" s="721"/>
      <c r="O9" s="721"/>
      <c r="P9" s="721"/>
      <c r="Q9" s="721"/>
      <c r="R9" s="721"/>
      <c r="S9" s="757"/>
      <c r="T9" s="481"/>
      <c r="U9" s="481"/>
      <c r="V9" s="481"/>
      <c r="W9" s="481"/>
      <c r="X9" s="481"/>
      <c r="Y9" s="481"/>
      <c r="Z9" s="481"/>
      <c r="AA9" s="481"/>
      <c r="AB9" s="509"/>
    </row>
    <row r="10" spans="1:28">
      <c r="A10" s="481">
        <v>1.2</v>
      </c>
      <c r="B10" s="511" t="s">
        <v>564</v>
      </c>
      <c r="C10" s="756"/>
      <c r="D10" s="721"/>
      <c r="E10" s="721"/>
      <c r="F10" s="721"/>
      <c r="G10" s="721"/>
      <c r="H10" s="721"/>
      <c r="I10" s="721"/>
      <c r="J10" s="721"/>
      <c r="K10" s="721"/>
      <c r="L10" s="721"/>
      <c r="M10" s="721"/>
      <c r="N10" s="721"/>
      <c r="O10" s="721"/>
      <c r="P10" s="721"/>
      <c r="Q10" s="721"/>
      <c r="R10" s="721"/>
      <c r="S10" s="757"/>
      <c r="T10" s="481"/>
      <c r="U10" s="481"/>
      <c r="V10" s="481"/>
      <c r="W10" s="481"/>
      <c r="X10" s="481"/>
      <c r="Y10" s="481"/>
      <c r="Z10" s="481"/>
      <c r="AA10" s="481"/>
      <c r="AB10" s="509"/>
    </row>
    <row r="11" spans="1:28">
      <c r="A11" s="481">
        <v>1.3</v>
      </c>
      <c r="B11" s="511" t="s">
        <v>565</v>
      </c>
      <c r="C11" s="756"/>
      <c r="D11" s="721"/>
      <c r="E11" s="721"/>
      <c r="F11" s="721"/>
      <c r="G11" s="721"/>
      <c r="H11" s="721"/>
      <c r="I11" s="721"/>
      <c r="J11" s="721"/>
      <c r="K11" s="721"/>
      <c r="L11" s="721"/>
      <c r="M11" s="721"/>
      <c r="N11" s="721"/>
      <c r="O11" s="721"/>
      <c r="P11" s="721"/>
      <c r="Q11" s="721"/>
      <c r="R11" s="721"/>
      <c r="S11" s="757"/>
      <c r="T11" s="481"/>
      <c r="U11" s="481"/>
      <c r="V11" s="481"/>
      <c r="W11" s="481"/>
      <c r="X11" s="481"/>
      <c r="Y11" s="481"/>
      <c r="Z11" s="481"/>
      <c r="AA11" s="481"/>
      <c r="AB11" s="509"/>
    </row>
    <row r="12" spans="1:28">
      <c r="A12" s="481">
        <v>1.4</v>
      </c>
      <c r="B12" s="511" t="s">
        <v>566</v>
      </c>
      <c r="C12" s="756">
        <v>322609.28000000003</v>
      </c>
      <c r="D12" s="721">
        <v>322609.28000000003</v>
      </c>
      <c r="E12" s="721">
        <v>322609.28000000003</v>
      </c>
      <c r="F12" s="721">
        <v>0</v>
      </c>
      <c r="G12" s="721">
        <v>0</v>
      </c>
      <c r="H12" s="721">
        <v>0</v>
      </c>
      <c r="I12" s="721">
        <v>0</v>
      </c>
      <c r="J12" s="721">
        <v>0</v>
      </c>
      <c r="K12" s="721">
        <v>0</v>
      </c>
      <c r="L12" s="721">
        <v>0</v>
      </c>
      <c r="M12" s="721">
        <v>0</v>
      </c>
      <c r="N12" s="721">
        <v>0</v>
      </c>
      <c r="O12" s="721">
        <v>0</v>
      </c>
      <c r="P12" s="721">
        <v>0</v>
      </c>
      <c r="Q12" s="721">
        <v>0</v>
      </c>
      <c r="R12" s="721">
        <v>0</v>
      </c>
      <c r="S12" s="757">
        <v>0</v>
      </c>
      <c r="T12" s="481"/>
      <c r="U12" s="481"/>
      <c r="V12" s="481"/>
      <c r="W12" s="481"/>
      <c r="X12" s="481"/>
      <c r="Y12" s="481"/>
      <c r="Z12" s="481"/>
      <c r="AA12" s="481"/>
      <c r="AB12" s="509"/>
    </row>
    <row r="13" spans="1:28">
      <c r="A13" s="481">
        <v>1.5</v>
      </c>
      <c r="B13" s="511" t="s">
        <v>567</v>
      </c>
      <c r="C13" s="756">
        <v>187179685.39081594</v>
      </c>
      <c r="D13" s="721">
        <v>53299078.757459</v>
      </c>
      <c r="E13" s="721">
        <v>53299078.757459</v>
      </c>
      <c r="F13" s="721">
        <v>0</v>
      </c>
      <c r="G13" s="721">
        <v>0</v>
      </c>
      <c r="H13" s="721">
        <v>23268708.727292001</v>
      </c>
      <c r="I13" s="721">
        <v>21350797.895350002</v>
      </c>
      <c r="J13" s="721">
        <v>1917910.831942</v>
      </c>
      <c r="K13" s="721">
        <v>0</v>
      </c>
      <c r="L13" s="721">
        <v>110611897.90606496</v>
      </c>
      <c r="M13" s="721">
        <v>32145713.423</v>
      </c>
      <c r="N13" s="721">
        <v>755043.8</v>
      </c>
      <c r="O13" s="721">
        <v>5076170.95</v>
      </c>
      <c r="P13" s="721">
        <v>4385155.3213</v>
      </c>
      <c r="Q13" s="721">
        <v>45478919.334265023</v>
      </c>
      <c r="R13" s="721">
        <v>22770895.077499993</v>
      </c>
      <c r="S13" s="757">
        <v>389206.08539999992</v>
      </c>
      <c r="T13" s="481"/>
      <c r="U13" s="481"/>
      <c r="V13" s="481"/>
      <c r="W13" s="481"/>
      <c r="X13" s="481"/>
      <c r="Y13" s="481"/>
      <c r="Z13" s="481"/>
      <c r="AA13" s="481"/>
      <c r="AB13" s="509"/>
    </row>
    <row r="14" spans="1:28">
      <c r="A14" s="481">
        <v>1.6</v>
      </c>
      <c r="B14" s="511" t="s">
        <v>568</v>
      </c>
      <c r="C14" s="756">
        <v>9929667.5134259965</v>
      </c>
      <c r="D14" s="721">
        <v>7800338.1228259951</v>
      </c>
      <c r="E14" s="721">
        <v>7800338.122825996</v>
      </c>
      <c r="F14" s="721">
        <v>0</v>
      </c>
      <c r="G14" s="721">
        <v>0</v>
      </c>
      <c r="H14" s="721">
        <v>5065.8499999999995</v>
      </c>
      <c r="I14" s="721">
        <v>0</v>
      </c>
      <c r="J14" s="721">
        <v>5065.8499999999995</v>
      </c>
      <c r="K14" s="721">
        <v>0</v>
      </c>
      <c r="L14" s="721">
        <v>2124263.5405999999</v>
      </c>
      <c r="M14" s="721">
        <v>106036.09999999999</v>
      </c>
      <c r="N14" s="721">
        <v>22778.709999999995</v>
      </c>
      <c r="O14" s="721">
        <v>4609.4399999999996</v>
      </c>
      <c r="P14" s="721">
        <v>193200.9406</v>
      </c>
      <c r="Q14" s="721">
        <v>1670924.83</v>
      </c>
      <c r="R14" s="721">
        <v>126713.52</v>
      </c>
      <c r="S14" s="757">
        <v>0</v>
      </c>
      <c r="T14" s="481"/>
      <c r="U14" s="481"/>
      <c r="V14" s="481"/>
      <c r="W14" s="481"/>
      <c r="X14" s="481"/>
      <c r="Y14" s="481"/>
      <c r="Z14" s="481"/>
      <c r="AA14" s="481"/>
      <c r="AB14" s="509"/>
    </row>
    <row r="15" spans="1:28">
      <c r="A15" s="512">
        <v>2</v>
      </c>
      <c r="B15" s="495" t="s">
        <v>569</v>
      </c>
      <c r="C15" s="693">
        <f>SUM(C16:C21)</f>
        <v>0</v>
      </c>
      <c r="D15" s="693">
        <f>SUM(D16:D21)</f>
        <v>0</v>
      </c>
      <c r="E15" s="693">
        <f t="shared" ref="E15:S15" si="2">SUM(E16:E21)</f>
        <v>0</v>
      </c>
      <c r="F15" s="693">
        <f t="shared" si="2"/>
        <v>0</v>
      </c>
      <c r="G15" s="693">
        <f t="shared" si="2"/>
        <v>0</v>
      </c>
      <c r="H15" s="693">
        <f t="shared" si="2"/>
        <v>0</v>
      </c>
      <c r="I15" s="693">
        <f t="shared" si="2"/>
        <v>0</v>
      </c>
      <c r="J15" s="693">
        <f t="shared" si="2"/>
        <v>0</v>
      </c>
      <c r="K15" s="693">
        <f t="shared" si="2"/>
        <v>0</v>
      </c>
      <c r="L15" s="693">
        <f t="shared" si="2"/>
        <v>0</v>
      </c>
      <c r="M15" s="693">
        <f t="shared" si="2"/>
        <v>0</v>
      </c>
      <c r="N15" s="693">
        <f t="shared" si="2"/>
        <v>0</v>
      </c>
      <c r="O15" s="693">
        <f t="shared" si="2"/>
        <v>0</v>
      </c>
      <c r="P15" s="693">
        <f t="shared" si="2"/>
        <v>0</v>
      </c>
      <c r="Q15" s="693">
        <f t="shared" si="2"/>
        <v>0</v>
      </c>
      <c r="R15" s="693">
        <f t="shared" si="2"/>
        <v>0</v>
      </c>
      <c r="S15" s="693">
        <f t="shared" si="2"/>
        <v>0</v>
      </c>
      <c r="T15" s="693">
        <f t="shared" ref="T15:U15" si="3">SUM(T16:T21)</f>
        <v>0</v>
      </c>
      <c r="U15" s="693">
        <f t="shared" si="3"/>
        <v>0</v>
      </c>
      <c r="V15" s="481"/>
      <c r="W15" s="481"/>
      <c r="X15" s="481"/>
      <c r="Y15" s="481"/>
      <c r="Z15" s="481"/>
      <c r="AA15" s="481"/>
      <c r="AB15" s="509"/>
    </row>
    <row r="16" spans="1:28">
      <c r="A16" s="481">
        <v>2.1</v>
      </c>
      <c r="B16" s="511" t="s">
        <v>563</v>
      </c>
      <c r="C16" s="758"/>
      <c r="D16" s="757"/>
      <c r="E16" s="757"/>
      <c r="F16" s="757"/>
      <c r="G16" s="757"/>
      <c r="H16" s="757"/>
      <c r="I16" s="757"/>
      <c r="J16" s="757"/>
      <c r="K16" s="757"/>
      <c r="L16" s="757"/>
      <c r="M16" s="757"/>
      <c r="N16" s="757"/>
      <c r="O16" s="757"/>
      <c r="P16" s="757"/>
      <c r="Q16" s="757"/>
      <c r="R16" s="757"/>
      <c r="S16" s="757"/>
      <c r="T16" s="481"/>
      <c r="U16" s="481"/>
      <c r="V16" s="481"/>
      <c r="W16" s="481"/>
      <c r="X16" s="481"/>
      <c r="Y16" s="481"/>
      <c r="Z16" s="481"/>
      <c r="AA16" s="481"/>
      <c r="AB16" s="509"/>
    </row>
    <row r="17" spans="1:28">
      <c r="A17" s="481">
        <v>2.2000000000000002</v>
      </c>
      <c r="B17" s="511" t="s">
        <v>564</v>
      </c>
      <c r="C17" s="758"/>
      <c r="D17" s="757"/>
      <c r="E17" s="757"/>
      <c r="F17" s="757"/>
      <c r="G17" s="757"/>
      <c r="H17" s="757"/>
      <c r="I17" s="757"/>
      <c r="J17" s="757"/>
      <c r="K17" s="757"/>
      <c r="L17" s="757"/>
      <c r="M17" s="757"/>
      <c r="N17" s="757"/>
      <c r="O17" s="757"/>
      <c r="P17" s="757"/>
      <c r="Q17" s="757"/>
      <c r="R17" s="757"/>
      <c r="S17" s="757"/>
      <c r="T17" s="481"/>
      <c r="U17" s="481"/>
      <c r="V17" s="481"/>
      <c r="W17" s="481"/>
      <c r="X17" s="481"/>
      <c r="Y17" s="481"/>
      <c r="Z17" s="481"/>
      <c r="AA17" s="481"/>
      <c r="AB17" s="509"/>
    </row>
    <row r="18" spans="1:28">
      <c r="A18" s="481">
        <v>2.2999999999999998</v>
      </c>
      <c r="B18" s="511" t="s">
        <v>565</v>
      </c>
      <c r="C18" s="758"/>
      <c r="D18" s="757"/>
      <c r="E18" s="757"/>
      <c r="F18" s="757"/>
      <c r="G18" s="757"/>
      <c r="H18" s="757"/>
      <c r="I18" s="757"/>
      <c r="J18" s="757"/>
      <c r="K18" s="757"/>
      <c r="L18" s="757"/>
      <c r="M18" s="757"/>
      <c r="N18" s="757"/>
      <c r="O18" s="757"/>
      <c r="P18" s="757"/>
      <c r="Q18" s="757"/>
      <c r="R18" s="757"/>
      <c r="S18" s="757"/>
      <c r="T18" s="481"/>
      <c r="U18" s="481"/>
      <c r="V18" s="481"/>
      <c r="W18" s="481"/>
      <c r="X18" s="481"/>
      <c r="Y18" s="481"/>
      <c r="Z18" s="481"/>
      <c r="AA18" s="481"/>
      <c r="AB18" s="509"/>
    </row>
    <row r="19" spans="1:28">
      <c r="A19" s="481">
        <v>2.4</v>
      </c>
      <c r="B19" s="511" t="s">
        <v>566</v>
      </c>
      <c r="C19" s="758"/>
      <c r="D19" s="757"/>
      <c r="E19" s="757"/>
      <c r="F19" s="757"/>
      <c r="G19" s="757"/>
      <c r="H19" s="757"/>
      <c r="I19" s="757"/>
      <c r="J19" s="757"/>
      <c r="K19" s="757"/>
      <c r="L19" s="757"/>
      <c r="M19" s="757"/>
      <c r="N19" s="757"/>
      <c r="O19" s="757"/>
      <c r="P19" s="757"/>
      <c r="Q19" s="757"/>
      <c r="R19" s="757"/>
      <c r="S19" s="757"/>
      <c r="T19" s="481"/>
      <c r="U19" s="481"/>
      <c r="V19" s="481"/>
      <c r="W19" s="481"/>
      <c r="X19" s="481"/>
      <c r="Y19" s="481"/>
      <c r="Z19" s="481"/>
      <c r="AA19" s="481"/>
      <c r="AB19" s="509"/>
    </row>
    <row r="20" spans="1:28">
      <c r="A20" s="481">
        <v>2.5</v>
      </c>
      <c r="B20" s="511" t="s">
        <v>567</v>
      </c>
      <c r="C20" s="758"/>
      <c r="D20" s="757"/>
      <c r="E20" s="757"/>
      <c r="F20" s="757"/>
      <c r="G20" s="757"/>
      <c r="H20" s="757"/>
      <c r="I20" s="757"/>
      <c r="J20" s="757"/>
      <c r="K20" s="757"/>
      <c r="L20" s="757"/>
      <c r="M20" s="757"/>
      <c r="N20" s="757"/>
      <c r="O20" s="757"/>
      <c r="P20" s="757"/>
      <c r="Q20" s="757"/>
      <c r="R20" s="757"/>
      <c r="S20" s="757"/>
      <c r="T20" s="481"/>
      <c r="U20" s="481"/>
      <c r="V20" s="481"/>
      <c r="W20" s="481"/>
      <c r="X20" s="481"/>
      <c r="Y20" s="481"/>
      <c r="Z20" s="481"/>
      <c r="AA20" s="481"/>
      <c r="AB20" s="509"/>
    </row>
    <row r="21" spans="1:28">
      <c r="A21" s="481">
        <v>2.6</v>
      </c>
      <c r="B21" s="511" t="s">
        <v>568</v>
      </c>
      <c r="C21" s="758"/>
      <c r="D21" s="757"/>
      <c r="E21" s="757"/>
      <c r="F21" s="757"/>
      <c r="G21" s="757"/>
      <c r="H21" s="757"/>
      <c r="I21" s="757"/>
      <c r="J21" s="757"/>
      <c r="K21" s="757"/>
      <c r="L21" s="757"/>
      <c r="M21" s="757"/>
      <c r="N21" s="757"/>
      <c r="O21" s="757"/>
      <c r="P21" s="757"/>
      <c r="Q21" s="757"/>
      <c r="R21" s="757"/>
      <c r="S21" s="757"/>
      <c r="T21" s="481"/>
      <c r="U21" s="481"/>
      <c r="V21" s="481"/>
      <c r="W21" s="481"/>
      <c r="X21" s="481"/>
      <c r="Y21" s="481"/>
      <c r="Z21" s="481"/>
      <c r="AA21" s="481"/>
      <c r="AB21" s="509"/>
    </row>
    <row r="22" spans="1:28">
      <c r="A22" s="512">
        <v>3</v>
      </c>
      <c r="B22" s="485" t="s">
        <v>570</v>
      </c>
      <c r="C22" s="693">
        <f>SUM(C23:C28)</f>
        <v>215801.22330000001</v>
      </c>
      <c r="D22" s="693">
        <f>SUM(D23:D28)</f>
        <v>215801</v>
      </c>
      <c r="E22" s="693">
        <f t="shared" ref="E22:S22" si="4">SUM(E23:E28)</f>
        <v>0</v>
      </c>
      <c r="F22" s="694">
        <f t="shared" si="4"/>
        <v>0</v>
      </c>
      <c r="G22" s="693">
        <f t="shared" si="4"/>
        <v>0</v>
      </c>
      <c r="H22" s="694">
        <f t="shared" si="4"/>
        <v>0</v>
      </c>
      <c r="I22" s="694">
        <f t="shared" si="4"/>
        <v>0</v>
      </c>
      <c r="J22" s="694">
        <f t="shared" si="4"/>
        <v>0</v>
      </c>
      <c r="K22" s="694">
        <f t="shared" si="4"/>
        <v>0</v>
      </c>
      <c r="L22" s="693">
        <f t="shared" si="4"/>
        <v>0</v>
      </c>
      <c r="M22" s="694">
        <f t="shared" si="4"/>
        <v>0</v>
      </c>
      <c r="N22" s="694">
        <f t="shared" si="4"/>
        <v>0</v>
      </c>
      <c r="O22" s="694">
        <f t="shared" si="4"/>
        <v>0</v>
      </c>
      <c r="P22" s="694">
        <f t="shared" si="4"/>
        <v>0</v>
      </c>
      <c r="Q22" s="694">
        <f t="shared" si="4"/>
        <v>0</v>
      </c>
      <c r="R22" s="694">
        <f t="shared" si="4"/>
        <v>0</v>
      </c>
      <c r="S22" s="694">
        <f t="shared" si="4"/>
        <v>0</v>
      </c>
      <c r="T22" s="694">
        <f t="shared" ref="T22:U22" si="5">SUM(T23:T28)</f>
        <v>0</v>
      </c>
      <c r="U22" s="693">
        <f t="shared" si="5"/>
        <v>0</v>
      </c>
      <c r="V22" s="510"/>
      <c r="W22" s="510"/>
      <c r="X22" s="510"/>
      <c r="Y22" s="510"/>
      <c r="Z22" s="510"/>
      <c r="AA22" s="510"/>
      <c r="AB22" s="509"/>
    </row>
    <row r="23" spans="1:28">
      <c r="A23" s="481">
        <v>3.1</v>
      </c>
      <c r="B23" s="511" t="s">
        <v>563</v>
      </c>
      <c r="C23" s="759"/>
      <c r="D23" s="760"/>
      <c r="E23" s="761"/>
      <c r="F23" s="761"/>
      <c r="G23" s="761"/>
      <c r="H23" s="760"/>
      <c r="I23" s="761"/>
      <c r="J23" s="761"/>
      <c r="K23" s="761"/>
      <c r="L23" s="760"/>
      <c r="M23" s="761"/>
      <c r="N23" s="761"/>
      <c r="O23" s="761"/>
      <c r="P23" s="761"/>
      <c r="Q23" s="761"/>
      <c r="R23" s="761"/>
      <c r="S23" s="762"/>
      <c r="T23" s="485"/>
      <c r="U23" s="510"/>
      <c r="V23" s="510"/>
      <c r="W23" s="510"/>
      <c r="X23" s="510"/>
      <c r="Y23" s="510"/>
      <c r="Z23" s="510"/>
      <c r="AA23" s="510"/>
      <c r="AB23" s="509"/>
    </row>
    <row r="24" spans="1:28">
      <c r="A24" s="481">
        <v>3.2</v>
      </c>
      <c r="B24" s="511" t="s">
        <v>564</v>
      </c>
      <c r="C24" s="759"/>
      <c r="D24" s="760"/>
      <c r="E24" s="761"/>
      <c r="F24" s="761"/>
      <c r="G24" s="761"/>
      <c r="H24" s="760"/>
      <c r="I24" s="761"/>
      <c r="J24" s="761"/>
      <c r="K24" s="761"/>
      <c r="L24" s="760"/>
      <c r="M24" s="761"/>
      <c r="N24" s="761"/>
      <c r="O24" s="761"/>
      <c r="P24" s="761"/>
      <c r="Q24" s="761"/>
      <c r="R24" s="761"/>
      <c r="S24" s="762"/>
      <c r="T24" s="485"/>
      <c r="U24" s="510"/>
      <c r="V24" s="510"/>
      <c r="W24" s="510"/>
      <c r="X24" s="510"/>
      <c r="Y24" s="510"/>
      <c r="Z24" s="510"/>
      <c r="AA24" s="510"/>
      <c r="AB24" s="509"/>
    </row>
    <row r="25" spans="1:28">
      <c r="A25" s="481">
        <v>3.3</v>
      </c>
      <c r="B25" s="511" t="s">
        <v>565</v>
      </c>
      <c r="C25" s="759"/>
      <c r="D25" s="760"/>
      <c r="E25" s="761"/>
      <c r="F25" s="761"/>
      <c r="G25" s="761"/>
      <c r="H25" s="760"/>
      <c r="I25" s="761"/>
      <c r="J25" s="761"/>
      <c r="K25" s="761"/>
      <c r="L25" s="760"/>
      <c r="M25" s="761"/>
      <c r="N25" s="761"/>
      <c r="O25" s="761"/>
      <c r="P25" s="761"/>
      <c r="Q25" s="761"/>
      <c r="R25" s="761"/>
      <c r="S25" s="762"/>
      <c r="T25" s="485"/>
      <c r="U25" s="510"/>
      <c r="V25" s="510"/>
      <c r="W25" s="510"/>
      <c r="X25" s="510"/>
      <c r="Y25" s="510"/>
      <c r="Z25" s="510"/>
      <c r="AA25" s="510"/>
      <c r="AB25" s="509"/>
    </row>
    <row r="26" spans="1:28">
      <c r="A26" s="481">
        <v>3.4</v>
      </c>
      <c r="B26" s="511" t="s">
        <v>566</v>
      </c>
      <c r="C26" s="759">
        <v>0</v>
      </c>
      <c r="D26" s="760">
        <v>0</v>
      </c>
      <c r="E26" s="761"/>
      <c r="F26" s="761"/>
      <c r="G26" s="761"/>
      <c r="H26" s="760">
        <v>0</v>
      </c>
      <c r="I26" s="761"/>
      <c r="J26" s="761"/>
      <c r="K26" s="761"/>
      <c r="L26" s="760">
        <v>0</v>
      </c>
      <c r="M26" s="761"/>
      <c r="N26" s="761"/>
      <c r="O26" s="761"/>
      <c r="P26" s="761"/>
      <c r="Q26" s="761"/>
      <c r="R26" s="761"/>
      <c r="S26" s="762"/>
      <c r="T26" s="485"/>
      <c r="U26" s="510"/>
      <c r="V26" s="510"/>
      <c r="W26" s="510"/>
      <c r="X26" s="510"/>
      <c r="Y26" s="510"/>
      <c r="Z26" s="510"/>
      <c r="AA26" s="510"/>
      <c r="AB26" s="509"/>
    </row>
    <row r="27" spans="1:28">
      <c r="A27" s="481">
        <v>3.5</v>
      </c>
      <c r="B27" s="511" t="s">
        <v>567</v>
      </c>
      <c r="C27" s="786">
        <v>215801.22330000001</v>
      </c>
      <c r="D27" s="786">
        <v>215801</v>
      </c>
      <c r="E27" s="761"/>
      <c r="F27" s="761"/>
      <c r="G27" s="761"/>
      <c r="H27" s="760">
        <v>0</v>
      </c>
      <c r="I27" s="761"/>
      <c r="J27" s="761"/>
      <c r="K27" s="761"/>
      <c r="L27" s="760">
        <v>0</v>
      </c>
      <c r="M27" s="761"/>
      <c r="N27" s="761"/>
      <c r="O27" s="761"/>
      <c r="P27" s="761"/>
      <c r="Q27" s="761"/>
      <c r="R27" s="761"/>
      <c r="S27" s="762"/>
      <c r="T27" s="485"/>
      <c r="U27" s="510"/>
      <c r="V27" s="510"/>
      <c r="W27" s="510"/>
      <c r="X27" s="510"/>
      <c r="Y27" s="510"/>
      <c r="Z27" s="510">
        <v>0</v>
      </c>
      <c r="AA27" s="510"/>
      <c r="AB27" s="509"/>
    </row>
    <row r="28" spans="1:28">
      <c r="A28" s="481">
        <v>3.6</v>
      </c>
      <c r="B28" s="511" t="s">
        <v>568</v>
      </c>
      <c r="C28" s="758"/>
      <c r="D28" s="763"/>
      <c r="E28" s="762"/>
      <c r="F28" s="762"/>
      <c r="G28" s="762"/>
      <c r="H28" s="763"/>
      <c r="I28" s="762"/>
      <c r="J28" s="762"/>
      <c r="K28" s="762"/>
      <c r="L28" s="763"/>
      <c r="M28" s="762"/>
      <c r="N28" s="762"/>
      <c r="O28" s="762"/>
      <c r="P28" s="762"/>
      <c r="Q28" s="762"/>
      <c r="R28" s="762"/>
      <c r="S28" s="762"/>
      <c r="T28" s="485"/>
      <c r="U28" s="510"/>
      <c r="V28" s="510"/>
      <c r="W28" s="510"/>
      <c r="X28" s="510"/>
      <c r="Y28" s="510"/>
      <c r="Z28" s="510"/>
      <c r="AA28" s="510"/>
      <c r="AB28" s="509"/>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2"/>
  <sheetViews>
    <sheetView showGridLines="0" zoomScale="80" zoomScaleNormal="80" workbookViewId="0">
      <selection activeCell="C8" sqref="C8:S22"/>
    </sheetView>
  </sheetViews>
  <sheetFormatPr defaultColWidth="9.28515625" defaultRowHeight="12.75"/>
  <cols>
    <col min="1" max="1" width="11.7109375" style="492" bestFit="1" customWidth="1"/>
    <col min="2" max="2" width="90.28515625" style="492" bestFit="1" customWidth="1"/>
    <col min="3" max="3" width="20.28515625" style="492" customWidth="1"/>
    <col min="4" max="4" width="22.28515625" style="492" customWidth="1"/>
    <col min="5" max="7" width="17.140625" style="492" customWidth="1"/>
    <col min="8" max="8" width="22.28515625" style="492" customWidth="1"/>
    <col min="9" max="10" width="17.140625" style="492" customWidth="1"/>
    <col min="11" max="27" width="22.28515625" style="492" customWidth="1"/>
    <col min="28" max="16384" width="9.28515625" style="492"/>
  </cols>
  <sheetData>
    <row r="1" spans="1:27" ht="13.5">
      <c r="A1" s="379" t="s">
        <v>108</v>
      </c>
      <c r="B1" s="306" t="str">
        <f>Info!C2</f>
        <v>JSC "VTB Bank (Georgia)"</v>
      </c>
    </row>
    <row r="2" spans="1:27">
      <c r="A2" s="381" t="s">
        <v>109</v>
      </c>
      <c r="B2" s="383">
        <f>Info!D2</f>
        <v>45565</v>
      </c>
    </row>
    <row r="3" spans="1:27">
      <c r="A3" s="382" t="s">
        <v>571</v>
      </c>
      <c r="C3" s="494"/>
    </row>
    <row r="4" spans="1:27" ht="13.5" thickBot="1">
      <c r="A4" s="382"/>
      <c r="B4" s="494"/>
      <c r="C4" s="494"/>
    </row>
    <row r="5" spans="1:27" s="524" customFormat="1" ht="13.5" customHeight="1">
      <c r="A5" s="910" t="s">
        <v>901</v>
      </c>
      <c r="B5" s="911"/>
      <c r="C5" s="907" t="s">
        <v>572</v>
      </c>
      <c r="D5" s="908"/>
      <c r="E5" s="908"/>
      <c r="F5" s="908"/>
      <c r="G5" s="908"/>
      <c r="H5" s="908"/>
      <c r="I5" s="908"/>
      <c r="J5" s="908"/>
      <c r="K5" s="908"/>
      <c r="L5" s="908"/>
      <c r="M5" s="908"/>
      <c r="N5" s="908"/>
      <c r="O5" s="908"/>
      <c r="P5" s="908"/>
      <c r="Q5" s="908"/>
      <c r="R5" s="908"/>
      <c r="S5" s="908"/>
      <c r="T5" s="908"/>
      <c r="U5" s="908"/>
      <c r="V5" s="908"/>
      <c r="W5" s="908"/>
      <c r="X5" s="908"/>
      <c r="Y5" s="908"/>
      <c r="Z5" s="908"/>
      <c r="AA5" s="909"/>
    </row>
    <row r="6" spans="1:27" s="524" customFormat="1" ht="12" customHeight="1">
      <c r="A6" s="912"/>
      <c r="B6" s="913"/>
      <c r="C6" s="917" t="s">
        <v>66</v>
      </c>
      <c r="D6" s="916" t="s">
        <v>892</v>
      </c>
      <c r="E6" s="916"/>
      <c r="F6" s="916"/>
      <c r="G6" s="916"/>
      <c r="H6" s="902" t="s">
        <v>891</v>
      </c>
      <c r="I6" s="903"/>
      <c r="J6" s="903"/>
      <c r="K6" s="903"/>
      <c r="L6" s="520"/>
      <c r="M6" s="884" t="s">
        <v>890</v>
      </c>
      <c r="N6" s="884"/>
      <c r="O6" s="884"/>
      <c r="P6" s="884"/>
      <c r="Q6" s="884"/>
      <c r="R6" s="884"/>
      <c r="S6" s="882"/>
      <c r="T6" s="520"/>
      <c r="U6" s="884" t="s">
        <v>889</v>
      </c>
      <c r="V6" s="884"/>
      <c r="W6" s="884"/>
      <c r="X6" s="884"/>
      <c r="Y6" s="884"/>
      <c r="Z6" s="884"/>
      <c r="AA6" s="906"/>
    </row>
    <row r="7" spans="1:27" s="524" customFormat="1" ht="38.25">
      <c r="A7" s="914"/>
      <c r="B7" s="915"/>
      <c r="C7" s="918"/>
      <c r="D7" s="518"/>
      <c r="E7" s="514" t="s">
        <v>561</v>
      </c>
      <c r="F7" s="489" t="s">
        <v>887</v>
      </c>
      <c r="G7" s="489" t="s">
        <v>888</v>
      </c>
      <c r="H7" s="545"/>
      <c r="I7" s="514" t="s">
        <v>561</v>
      </c>
      <c r="J7" s="489" t="s">
        <v>887</v>
      </c>
      <c r="K7" s="489" t="s">
        <v>888</v>
      </c>
      <c r="L7" s="515"/>
      <c r="M7" s="514" t="s">
        <v>561</v>
      </c>
      <c r="N7" s="489" t="s">
        <v>900</v>
      </c>
      <c r="O7" s="489" t="s">
        <v>899</v>
      </c>
      <c r="P7" s="489" t="s">
        <v>898</v>
      </c>
      <c r="Q7" s="489" t="s">
        <v>897</v>
      </c>
      <c r="R7" s="489" t="s">
        <v>896</v>
      </c>
      <c r="S7" s="489" t="s">
        <v>882</v>
      </c>
      <c r="T7" s="515"/>
      <c r="U7" s="514" t="s">
        <v>561</v>
      </c>
      <c r="V7" s="489" t="s">
        <v>900</v>
      </c>
      <c r="W7" s="489" t="s">
        <v>899</v>
      </c>
      <c r="X7" s="489" t="s">
        <v>898</v>
      </c>
      <c r="Y7" s="489" t="s">
        <v>897</v>
      </c>
      <c r="Z7" s="489" t="s">
        <v>896</v>
      </c>
      <c r="AA7" s="489" t="s">
        <v>882</v>
      </c>
    </row>
    <row r="8" spans="1:27">
      <c r="A8" s="544">
        <v>1</v>
      </c>
      <c r="B8" s="543" t="s">
        <v>562</v>
      </c>
      <c r="C8" s="697">
        <v>197431962.18424195</v>
      </c>
      <c r="D8" s="721">
        <v>61422026.160285011</v>
      </c>
      <c r="E8" s="721">
        <v>61422026.160285003</v>
      </c>
      <c r="F8" s="721">
        <v>0</v>
      </c>
      <c r="G8" s="721">
        <v>0</v>
      </c>
      <c r="H8" s="721">
        <v>23273774.577291999</v>
      </c>
      <c r="I8" s="721">
        <v>21350797.895350002</v>
      </c>
      <c r="J8" s="721">
        <v>1922976.6819420001</v>
      </c>
      <c r="K8" s="721">
        <v>0</v>
      </c>
      <c r="L8" s="721">
        <v>112736161.44666493</v>
      </c>
      <c r="M8" s="721">
        <v>32251749.522999998</v>
      </c>
      <c r="N8" s="721">
        <v>777822.51</v>
      </c>
      <c r="O8" s="721">
        <v>5080780.3900000006</v>
      </c>
      <c r="P8" s="721">
        <v>4578356.2618999993</v>
      </c>
      <c r="Q8" s="721">
        <v>47149844.164264999</v>
      </c>
      <c r="R8" s="721">
        <v>22897608.597499989</v>
      </c>
      <c r="S8" s="721">
        <v>389206.08539999992</v>
      </c>
      <c r="T8" s="757"/>
      <c r="U8" s="757"/>
      <c r="V8" s="757"/>
      <c r="W8" s="757"/>
      <c r="X8" s="757"/>
      <c r="Y8" s="757"/>
      <c r="Z8" s="757"/>
      <c r="AA8" s="764"/>
    </row>
    <row r="9" spans="1:27">
      <c r="A9" s="541">
        <v>1.1000000000000001</v>
      </c>
      <c r="B9" s="542" t="s">
        <v>573</v>
      </c>
      <c r="C9" s="765">
        <v>193308408.55594197</v>
      </c>
      <c r="D9" s="721">
        <v>60972808.740285017</v>
      </c>
      <c r="E9" s="721">
        <v>60972808.740285009</v>
      </c>
      <c r="F9" s="721">
        <v>0</v>
      </c>
      <c r="G9" s="721">
        <v>0</v>
      </c>
      <c r="H9" s="721">
        <v>23268708.727292001</v>
      </c>
      <c r="I9" s="721">
        <v>21350797.895350002</v>
      </c>
      <c r="J9" s="721">
        <v>1917910.831942</v>
      </c>
      <c r="K9" s="721">
        <v>0</v>
      </c>
      <c r="L9" s="721">
        <v>109066891.08836496</v>
      </c>
      <c r="M9" s="721">
        <v>32153788.333000001</v>
      </c>
      <c r="N9" s="721">
        <v>755043.8</v>
      </c>
      <c r="O9" s="721">
        <v>5076170.95</v>
      </c>
      <c r="P9" s="721">
        <v>3091804.6441000002</v>
      </c>
      <c r="Q9" s="721">
        <v>45624534.604265019</v>
      </c>
      <c r="R9" s="721">
        <v>22365548.756999999</v>
      </c>
      <c r="S9" s="721">
        <v>389206.08539999992</v>
      </c>
      <c r="T9" s="757"/>
      <c r="U9" s="757"/>
      <c r="V9" s="757"/>
      <c r="W9" s="757"/>
      <c r="X9" s="757"/>
      <c r="Y9" s="757"/>
      <c r="Z9" s="757"/>
      <c r="AA9" s="764"/>
    </row>
    <row r="10" spans="1:27">
      <c r="A10" s="539" t="s">
        <v>157</v>
      </c>
      <c r="B10" s="540" t="s">
        <v>574</v>
      </c>
      <c r="C10" s="766">
        <v>183608816.47712198</v>
      </c>
      <c r="D10" s="721">
        <v>55510953.184165016</v>
      </c>
      <c r="E10" s="721">
        <v>55510953.184165016</v>
      </c>
      <c r="F10" s="721">
        <v>0</v>
      </c>
      <c r="G10" s="721">
        <v>0</v>
      </c>
      <c r="H10" s="721">
        <v>23268708.727292001</v>
      </c>
      <c r="I10" s="721">
        <v>21350797.895350002</v>
      </c>
      <c r="J10" s="721">
        <v>1917910.831942</v>
      </c>
      <c r="K10" s="721">
        <v>0</v>
      </c>
      <c r="L10" s="721">
        <v>104829154.56566496</v>
      </c>
      <c r="M10" s="721">
        <v>32153788.333000001</v>
      </c>
      <c r="N10" s="721">
        <v>755043.8</v>
      </c>
      <c r="O10" s="721">
        <v>5015163.79</v>
      </c>
      <c r="P10" s="721">
        <v>3084360.9940999998</v>
      </c>
      <c r="Q10" s="721">
        <v>45624534.604265027</v>
      </c>
      <c r="R10" s="721">
        <v>18196263.044299997</v>
      </c>
      <c r="S10" s="721">
        <v>389206.08539999992</v>
      </c>
      <c r="T10" s="757"/>
      <c r="U10" s="757"/>
      <c r="V10" s="757"/>
      <c r="W10" s="757"/>
      <c r="X10" s="757"/>
      <c r="Y10" s="757"/>
      <c r="Z10" s="757"/>
      <c r="AA10" s="764"/>
    </row>
    <row r="11" spans="1:27">
      <c r="A11" s="538" t="s">
        <v>575</v>
      </c>
      <c r="B11" s="537" t="s">
        <v>576</v>
      </c>
      <c r="C11" s="767">
        <v>59700191.643401012</v>
      </c>
      <c r="D11" s="721">
        <v>23922698.764843009</v>
      </c>
      <c r="E11" s="721">
        <v>23922698.764843006</v>
      </c>
      <c r="F11" s="721">
        <v>0</v>
      </c>
      <c r="G11" s="721">
        <v>0</v>
      </c>
      <c r="H11" s="721">
        <v>6917017.4914929997</v>
      </c>
      <c r="I11" s="721">
        <v>4999106.6595510002</v>
      </c>
      <c r="J11" s="721">
        <v>1917910.831942</v>
      </c>
      <c r="K11" s="721">
        <v>0</v>
      </c>
      <c r="L11" s="721">
        <v>28860475.387065001</v>
      </c>
      <c r="M11" s="721">
        <v>17098308.384399999</v>
      </c>
      <c r="N11" s="721">
        <v>0</v>
      </c>
      <c r="O11" s="721">
        <v>0</v>
      </c>
      <c r="P11" s="721">
        <v>1244195.1035</v>
      </c>
      <c r="Q11" s="721">
        <v>10517971.899164999</v>
      </c>
      <c r="R11" s="721">
        <v>0</v>
      </c>
      <c r="S11" s="721">
        <v>0</v>
      </c>
      <c r="T11" s="757"/>
      <c r="U11" s="757"/>
      <c r="V11" s="757"/>
      <c r="W11" s="757"/>
      <c r="X11" s="757"/>
      <c r="Y11" s="757"/>
      <c r="Z11" s="757"/>
      <c r="AA11" s="764"/>
    </row>
    <row r="12" spans="1:27">
      <c r="A12" s="538" t="s">
        <v>577</v>
      </c>
      <c r="B12" s="537" t="s">
        <v>578</v>
      </c>
      <c r="C12" s="767">
        <v>12473211.282813001</v>
      </c>
      <c r="D12" s="721">
        <v>1030498.5791000001</v>
      </c>
      <c r="E12" s="721">
        <v>1030498.5791000001</v>
      </c>
      <c r="F12" s="721">
        <v>0</v>
      </c>
      <c r="G12" s="721">
        <v>0</v>
      </c>
      <c r="H12" s="721">
        <v>3101213.1331130001</v>
      </c>
      <c r="I12" s="721">
        <v>3101213.1331130001</v>
      </c>
      <c r="J12" s="721">
        <v>0</v>
      </c>
      <c r="K12" s="721">
        <v>0</v>
      </c>
      <c r="L12" s="721">
        <v>8341499.5706000002</v>
      </c>
      <c r="M12" s="721">
        <v>0</v>
      </c>
      <c r="N12" s="721">
        <v>0</v>
      </c>
      <c r="O12" s="721">
        <v>0</v>
      </c>
      <c r="P12" s="721">
        <v>182294.57060000001</v>
      </c>
      <c r="Q12" s="721">
        <v>1414635</v>
      </c>
      <c r="R12" s="721">
        <v>6744570</v>
      </c>
      <c r="S12" s="721">
        <v>0</v>
      </c>
      <c r="T12" s="757"/>
      <c r="U12" s="757"/>
      <c r="V12" s="757"/>
      <c r="W12" s="757"/>
      <c r="X12" s="757"/>
      <c r="Y12" s="757"/>
      <c r="Z12" s="757"/>
      <c r="AA12" s="764"/>
    </row>
    <row r="13" spans="1:27">
      <c r="A13" s="538" t="s">
        <v>579</v>
      </c>
      <c r="B13" s="537" t="s">
        <v>580</v>
      </c>
      <c r="C13" s="767">
        <v>21402722.785700001</v>
      </c>
      <c r="D13" s="721">
        <v>9218419.3015000019</v>
      </c>
      <c r="E13" s="721">
        <v>9218419.3015000019</v>
      </c>
      <c r="F13" s="721">
        <v>0</v>
      </c>
      <c r="G13" s="721">
        <v>0</v>
      </c>
      <c r="H13" s="721">
        <v>0</v>
      </c>
      <c r="I13" s="721">
        <v>0</v>
      </c>
      <c r="J13" s="721">
        <v>0</v>
      </c>
      <c r="K13" s="721">
        <v>0</v>
      </c>
      <c r="L13" s="721">
        <v>12184303.484200001</v>
      </c>
      <c r="M13" s="721">
        <v>0</v>
      </c>
      <c r="N13" s="721">
        <v>0</v>
      </c>
      <c r="O13" s="721">
        <v>0</v>
      </c>
      <c r="P13" s="721">
        <v>1110490</v>
      </c>
      <c r="Q13" s="721">
        <v>4308563.2200000007</v>
      </c>
      <c r="R13" s="721">
        <v>6765250.2642000001</v>
      </c>
      <c r="S13" s="721">
        <v>0</v>
      </c>
      <c r="T13" s="757"/>
      <c r="U13" s="757"/>
      <c r="V13" s="757"/>
      <c r="W13" s="757"/>
      <c r="X13" s="757"/>
      <c r="Y13" s="757"/>
      <c r="Z13" s="757"/>
      <c r="AA13" s="764"/>
    </row>
    <row r="14" spans="1:27">
      <c r="A14" s="538" t="s">
        <v>581</v>
      </c>
      <c r="B14" s="537" t="s">
        <v>582</v>
      </c>
      <c r="C14" s="767">
        <v>90032690.765208006</v>
      </c>
      <c r="D14" s="721">
        <v>21339336.538722001</v>
      </c>
      <c r="E14" s="721">
        <v>21339336.538722001</v>
      </c>
      <c r="F14" s="721">
        <v>0</v>
      </c>
      <c r="G14" s="721">
        <v>0</v>
      </c>
      <c r="H14" s="721">
        <v>13250478.102685999</v>
      </c>
      <c r="I14" s="721">
        <v>13250478.102685999</v>
      </c>
      <c r="J14" s="721">
        <v>0</v>
      </c>
      <c r="K14" s="721">
        <v>0</v>
      </c>
      <c r="L14" s="721">
        <v>55442876.123800002</v>
      </c>
      <c r="M14" s="721">
        <v>15055479.9486</v>
      </c>
      <c r="N14" s="721">
        <v>755043.8</v>
      </c>
      <c r="O14" s="721">
        <v>5015163.79</v>
      </c>
      <c r="P14" s="721">
        <v>547381.32000000007</v>
      </c>
      <c r="Q14" s="721">
        <v>29383364.485100005</v>
      </c>
      <c r="R14" s="721">
        <v>4686442.7801000001</v>
      </c>
      <c r="S14" s="721">
        <v>389206.08539999992</v>
      </c>
      <c r="T14" s="757"/>
      <c r="U14" s="757"/>
      <c r="V14" s="757"/>
      <c r="W14" s="757"/>
      <c r="X14" s="757"/>
      <c r="Y14" s="757"/>
      <c r="Z14" s="757"/>
      <c r="AA14" s="764"/>
    </row>
    <row r="15" spans="1:27">
      <c r="A15" s="536">
        <v>1.2</v>
      </c>
      <c r="B15" s="534" t="s">
        <v>895</v>
      </c>
      <c r="C15" s="768">
        <v>15089363.150316458</v>
      </c>
      <c r="D15" s="721">
        <v>271986.73884731915</v>
      </c>
      <c r="E15" s="721">
        <v>271986.73884731921</v>
      </c>
      <c r="F15" s="721">
        <v>0</v>
      </c>
      <c r="G15" s="721">
        <v>0</v>
      </c>
      <c r="H15" s="721">
        <v>202632.86256675143</v>
      </c>
      <c r="I15" s="721">
        <v>201223.71332861809</v>
      </c>
      <c r="J15" s="721">
        <v>1409.1492381333001</v>
      </c>
      <c r="K15" s="721">
        <v>0</v>
      </c>
      <c r="L15" s="721">
        <v>14614743.548902387</v>
      </c>
      <c r="M15" s="721">
        <v>3603122.0645164498</v>
      </c>
      <c r="N15" s="721">
        <v>75504.38</v>
      </c>
      <c r="O15" s="721">
        <v>76052.651370000007</v>
      </c>
      <c r="P15" s="721">
        <v>414293.105007098</v>
      </c>
      <c r="Q15" s="721">
        <v>6278106.320506949</v>
      </c>
      <c r="R15" s="721">
        <v>4167665.0275018886</v>
      </c>
      <c r="S15" s="721">
        <v>160674.86882119335</v>
      </c>
      <c r="T15" s="757"/>
      <c r="U15" s="757"/>
      <c r="V15" s="757"/>
      <c r="W15" s="757"/>
      <c r="X15" s="757"/>
      <c r="Y15" s="757"/>
      <c r="Z15" s="757"/>
      <c r="AA15" s="764"/>
    </row>
    <row r="16" spans="1:27">
      <c r="A16" s="535">
        <v>1.3</v>
      </c>
      <c r="B16" s="534" t="s">
        <v>583</v>
      </c>
      <c r="C16" s="769">
        <v>0</v>
      </c>
      <c r="D16" s="770"/>
      <c r="E16" s="770"/>
      <c r="F16" s="770"/>
      <c r="G16" s="770"/>
      <c r="H16" s="770"/>
      <c r="I16" s="770"/>
      <c r="J16" s="770"/>
      <c r="K16" s="770"/>
      <c r="L16" s="770"/>
      <c r="M16" s="770"/>
      <c r="N16" s="770"/>
      <c r="O16" s="770"/>
      <c r="P16" s="770"/>
      <c r="Q16" s="770"/>
      <c r="R16" s="770"/>
      <c r="S16" s="770"/>
      <c r="T16" s="771"/>
      <c r="U16" s="771"/>
      <c r="V16" s="771"/>
      <c r="W16" s="771"/>
      <c r="X16" s="771"/>
      <c r="Y16" s="771"/>
      <c r="Z16" s="771"/>
      <c r="AA16" s="772"/>
    </row>
    <row r="17" spans="1:27" s="524" customFormat="1" ht="25.5">
      <c r="A17" s="532" t="s">
        <v>584</v>
      </c>
      <c r="B17" s="533" t="s">
        <v>585</v>
      </c>
      <c r="C17" s="773">
        <v>176300429.60641998</v>
      </c>
      <c r="D17" s="722">
        <v>45478409.51696302</v>
      </c>
      <c r="E17" s="722">
        <v>45478409.516963013</v>
      </c>
      <c r="F17" s="722">
        <v>0</v>
      </c>
      <c r="G17" s="722">
        <v>0</v>
      </c>
      <c r="H17" s="722">
        <v>23268708.727292001</v>
      </c>
      <c r="I17" s="722">
        <v>21350797.895350002</v>
      </c>
      <c r="J17" s="722">
        <v>1917910.831942</v>
      </c>
      <c r="K17" s="722">
        <v>0</v>
      </c>
      <c r="L17" s="722">
        <v>107553311.36216496</v>
      </c>
      <c r="M17" s="722">
        <v>32153788.333000001</v>
      </c>
      <c r="N17" s="722">
        <v>755043.8</v>
      </c>
      <c r="O17" s="722">
        <v>5015163.79</v>
      </c>
      <c r="P17" s="722">
        <v>3091804.6441000002</v>
      </c>
      <c r="Q17" s="722">
        <v>45297780.398165032</v>
      </c>
      <c r="R17" s="722">
        <v>21239730.396899987</v>
      </c>
      <c r="S17" s="722">
        <v>388982.25</v>
      </c>
      <c r="T17" s="774"/>
      <c r="U17" s="774"/>
      <c r="V17" s="774"/>
      <c r="W17" s="774"/>
      <c r="X17" s="774"/>
      <c r="Y17" s="774"/>
      <c r="Z17" s="774"/>
      <c r="AA17" s="775"/>
    </row>
    <row r="18" spans="1:27" s="524" customFormat="1" ht="25.5">
      <c r="A18" s="529" t="s">
        <v>586</v>
      </c>
      <c r="B18" s="530" t="s">
        <v>587</v>
      </c>
      <c r="C18" s="776">
        <v>157803206.86391401</v>
      </c>
      <c r="D18" s="722">
        <v>40037647.030843027</v>
      </c>
      <c r="E18" s="722">
        <v>40037647.030843019</v>
      </c>
      <c r="F18" s="722">
        <v>0</v>
      </c>
      <c r="G18" s="722">
        <v>0</v>
      </c>
      <c r="H18" s="722">
        <v>21174514.524506003</v>
      </c>
      <c r="I18" s="722">
        <v>19256603.692564003</v>
      </c>
      <c r="J18" s="722">
        <v>0</v>
      </c>
      <c r="K18" s="722">
        <v>0</v>
      </c>
      <c r="L18" s="722">
        <v>96591045.308564976</v>
      </c>
      <c r="M18" s="722">
        <v>28168283.471600004</v>
      </c>
      <c r="N18" s="722">
        <v>555269.30220000003</v>
      </c>
      <c r="O18" s="722">
        <v>3901400.4004000002</v>
      </c>
      <c r="P18" s="722">
        <v>3006376.8841000004</v>
      </c>
      <c r="Q18" s="722">
        <v>43912203.786064997</v>
      </c>
      <c r="R18" s="722">
        <v>17047511.464200001</v>
      </c>
      <c r="S18" s="722">
        <v>388982.25</v>
      </c>
      <c r="T18" s="774"/>
      <c r="U18" s="774"/>
      <c r="V18" s="774"/>
      <c r="W18" s="774"/>
      <c r="X18" s="774"/>
      <c r="Y18" s="774"/>
      <c r="Z18" s="774"/>
      <c r="AA18" s="775"/>
    </row>
    <row r="19" spans="1:27" s="524" customFormat="1">
      <c r="A19" s="532" t="s">
        <v>588</v>
      </c>
      <c r="B19" s="531" t="s">
        <v>589</v>
      </c>
      <c r="C19" s="777">
        <v>385398254.88448012</v>
      </c>
      <c r="D19" s="722">
        <v>166859164.46743709</v>
      </c>
      <c r="E19" s="722">
        <v>166859164.46743709</v>
      </c>
      <c r="F19" s="722">
        <v>0</v>
      </c>
      <c r="G19" s="722">
        <v>0</v>
      </c>
      <c r="H19" s="722">
        <v>19274135.281308014</v>
      </c>
      <c r="I19" s="722">
        <v>17544702.864250015</v>
      </c>
      <c r="J19" s="722">
        <v>0</v>
      </c>
      <c r="K19" s="722">
        <v>0</v>
      </c>
      <c r="L19" s="722">
        <v>199264955.13573498</v>
      </c>
      <c r="M19" s="722">
        <v>37900032.463700004</v>
      </c>
      <c r="N19" s="722">
        <v>181158.42529999907</v>
      </c>
      <c r="O19" s="722">
        <v>4306721.6270999992</v>
      </c>
      <c r="P19" s="722">
        <v>19092158.737799998</v>
      </c>
      <c r="Q19" s="722">
        <v>109867938.917135</v>
      </c>
      <c r="R19" s="722">
        <v>27916944.964699987</v>
      </c>
      <c r="S19" s="722">
        <v>0</v>
      </c>
      <c r="T19" s="774"/>
      <c r="U19" s="774"/>
      <c r="V19" s="774"/>
      <c r="W19" s="774"/>
      <c r="X19" s="774"/>
      <c r="Y19" s="774"/>
      <c r="Z19" s="774"/>
      <c r="AA19" s="775"/>
    </row>
    <row r="20" spans="1:27" s="524" customFormat="1">
      <c r="A20" s="529" t="s">
        <v>590</v>
      </c>
      <c r="B20" s="530" t="s">
        <v>591</v>
      </c>
      <c r="C20" s="776">
        <v>217272748.53358608</v>
      </c>
      <c r="D20" s="722">
        <v>156679675.20995709</v>
      </c>
      <c r="E20" s="722">
        <v>156679675.20995706</v>
      </c>
      <c r="F20" s="722">
        <v>0</v>
      </c>
      <c r="G20" s="722">
        <v>0</v>
      </c>
      <c r="H20" s="722">
        <v>6354979.4839940006</v>
      </c>
      <c r="I20" s="722">
        <v>4625547.0669360003</v>
      </c>
      <c r="J20" s="722">
        <v>0</v>
      </c>
      <c r="K20" s="722">
        <v>0</v>
      </c>
      <c r="L20" s="722">
        <v>54238093.839635</v>
      </c>
      <c r="M20" s="722">
        <v>10975607.902800001</v>
      </c>
      <c r="N20" s="722">
        <v>0</v>
      </c>
      <c r="O20" s="722">
        <v>0</v>
      </c>
      <c r="P20" s="722">
        <v>16402979.008900002</v>
      </c>
      <c r="Q20" s="722">
        <v>24274077.256434999</v>
      </c>
      <c r="R20" s="722">
        <v>2585429.6715000002</v>
      </c>
      <c r="S20" s="722">
        <v>0</v>
      </c>
      <c r="T20" s="774"/>
      <c r="U20" s="774"/>
      <c r="V20" s="774"/>
      <c r="W20" s="774"/>
      <c r="X20" s="774"/>
      <c r="Y20" s="774"/>
      <c r="Z20" s="774"/>
      <c r="AA20" s="775"/>
    </row>
    <row r="21" spans="1:27" s="524" customFormat="1">
      <c r="A21" s="528">
        <v>1.4</v>
      </c>
      <c r="B21" s="527" t="s">
        <v>680</v>
      </c>
      <c r="C21" s="778">
        <v>44648.72</v>
      </c>
      <c r="D21" s="722">
        <v>44648.72</v>
      </c>
      <c r="E21" s="722">
        <v>44648.72</v>
      </c>
      <c r="F21" s="722">
        <v>0</v>
      </c>
      <c r="G21" s="722">
        <v>0</v>
      </c>
      <c r="H21" s="722">
        <v>0</v>
      </c>
      <c r="I21" s="722">
        <v>0</v>
      </c>
      <c r="J21" s="722">
        <v>0</v>
      </c>
      <c r="K21" s="722">
        <v>0</v>
      </c>
      <c r="L21" s="722">
        <v>0</v>
      </c>
      <c r="M21" s="722">
        <v>0</v>
      </c>
      <c r="N21" s="722">
        <v>0</v>
      </c>
      <c r="O21" s="722">
        <v>0</v>
      </c>
      <c r="P21" s="722">
        <v>0</v>
      </c>
      <c r="Q21" s="722">
        <v>0</v>
      </c>
      <c r="R21" s="722">
        <v>0</v>
      </c>
      <c r="S21" s="722">
        <v>0</v>
      </c>
      <c r="T21" s="774"/>
      <c r="U21" s="774"/>
      <c r="V21" s="774"/>
      <c r="W21" s="774"/>
      <c r="X21" s="774"/>
      <c r="Y21" s="774"/>
      <c r="Z21" s="774"/>
      <c r="AA21" s="775"/>
    </row>
    <row r="22" spans="1:27" s="524" customFormat="1" ht="13.5" thickBot="1">
      <c r="A22" s="526">
        <v>1.5</v>
      </c>
      <c r="B22" s="525" t="s">
        <v>681</v>
      </c>
      <c r="C22" s="779">
        <v>0</v>
      </c>
      <c r="D22" s="780">
        <v>0</v>
      </c>
      <c r="E22" s="780">
        <v>0</v>
      </c>
      <c r="F22" s="780">
        <v>0</v>
      </c>
      <c r="G22" s="780">
        <v>0</v>
      </c>
      <c r="H22" s="780">
        <v>0</v>
      </c>
      <c r="I22" s="780">
        <v>0</v>
      </c>
      <c r="J22" s="780">
        <v>0</v>
      </c>
      <c r="K22" s="780">
        <v>0</v>
      </c>
      <c r="L22" s="780">
        <v>0</v>
      </c>
      <c r="M22" s="780">
        <v>0</v>
      </c>
      <c r="N22" s="780">
        <v>0</v>
      </c>
      <c r="O22" s="780">
        <v>0</v>
      </c>
      <c r="P22" s="780">
        <v>0</v>
      </c>
      <c r="Q22" s="780">
        <v>0</v>
      </c>
      <c r="R22" s="780">
        <v>0</v>
      </c>
      <c r="S22" s="780">
        <v>0</v>
      </c>
      <c r="T22" s="781"/>
      <c r="U22" s="781"/>
      <c r="V22" s="781"/>
      <c r="W22" s="781"/>
      <c r="X22" s="781"/>
      <c r="Y22" s="781"/>
      <c r="Z22" s="781"/>
      <c r="AA22" s="782"/>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showGridLines="0" zoomScale="55" zoomScaleNormal="55" workbookViewId="0">
      <selection activeCell="C7" sqref="C7:K32"/>
    </sheetView>
  </sheetViews>
  <sheetFormatPr defaultColWidth="9.28515625" defaultRowHeight="12.75"/>
  <cols>
    <col min="1" max="1" width="11.7109375" style="492" bestFit="1" customWidth="1"/>
    <col min="2" max="2" width="93.42578125" style="492" customWidth="1"/>
    <col min="3" max="3" width="17.140625" style="492" bestFit="1" customWidth="1"/>
    <col min="4" max="5" width="16.140625" style="492" customWidth="1"/>
    <col min="6" max="6" width="16.140625" style="546" customWidth="1"/>
    <col min="7" max="7" width="32" style="546" customWidth="1"/>
    <col min="8" max="8" width="16.140625" style="492" customWidth="1"/>
    <col min="9" max="11" width="16.140625" style="546" customWidth="1"/>
    <col min="12" max="12" width="29.42578125" style="546" customWidth="1"/>
    <col min="13" max="16384" width="9.28515625" style="492"/>
  </cols>
  <sheetData>
    <row r="1" spans="1:13" ht="13.5">
      <c r="A1" s="379" t="s">
        <v>108</v>
      </c>
      <c r="B1" s="306" t="str">
        <f>Info!C2</f>
        <v>JSC "VTB Bank (Georgia)"</v>
      </c>
      <c r="F1" s="492"/>
      <c r="G1" s="492"/>
      <c r="I1" s="492"/>
      <c r="J1" s="492"/>
      <c r="K1" s="492"/>
      <c r="L1" s="492"/>
    </row>
    <row r="2" spans="1:13">
      <c r="A2" s="381" t="s">
        <v>109</v>
      </c>
      <c r="B2" s="383">
        <f>Info!D2</f>
        <v>45565</v>
      </c>
      <c r="F2" s="492"/>
      <c r="G2" s="492"/>
      <c r="I2" s="492"/>
      <c r="J2" s="492"/>
      <c r="K2" s="492"/>
      <c r="L2" s="492"/>
    </row>
    <row r="3" spans="1:13">
      <c r="A3" s="382" t="s">
        <v>594</v>
      </c>
      <c r="F3" s="492"/>
      <c r="G3" s="492"/>
      <c r="I3" s="492"/>
      <c r="J3" s="492"/>
      <c r="K3" s="492"/>
      <c r="L3" s="492"/>
    </row>
    <row r="4" spans="1:13">
      <c r="F4" s="492"/>
      <c r="G4" s="492"/>
      <c r="I4" s="492"/>
      <c r="J4" s="492"/>
      <c r="K4" s="492"/>
      <c r="L4" s="492"/>
    </row>
    <row r="5" spans="1:13" ht="37.5" customHeight="1">
      <c r="A5" s="868" t="s">
        <v>595</v>
      </c>
      <c r="B5" s="869"/>
      <c r="C5" s="919" t="s">
        <v>596</v>
      </c>
      <c r="D5" s="920"/>
      <c r="E5" s="920"/>
      <c r="F5" s="920"/>
      <c r="G5" s="920"/>
      <c r="H5" s="921" t="s">
        <v>907</v>
      </c>
      <c r="I5" s="922"/>
      <c r="J5" s="922"/>
      <c r="K5" s="922"/>
      <c r="L5" s="923"/>
    </row>
    <row r="6" spans="1:13" ht="39.6" customHeight="1">
      <c r="A6" s="872"/>
      <c r="B6" s="873"/>
      <c r="C6" s="389"/>
      <c r="D6" s="490" t="s">
        <v>892</v>
      </c>
      <c r="E6" s="490" t="s">
        <v>891</v>
      </c>
      <c r="F6" s="490" t="s">
        <v>890</v>
      </c>
      <c r="G6" s="490" t="s">
        <v>889</v>
      </c>
      <c r="H6" s="549"/>
      <c r="I6" s="490" t="s">
        <v>892</v>
      </c>
      <c r="J6" s="490" t="s">
        <v>891</v>
      </c>
      <c r="K6" s="490" t="s">
        <v>890</v>
      </c>
      <c r="L6" s="490" t="s">
        <v>889</v>
      </c>
    </row>
    <row r="7" spans="1:13">
      <c r="A7" s="481">
        <v>1</v>
      </c>
      <c r="B7" s="496" t="s">
        <v>518</v>
      </c>
      <c r="C7" s="783">
        <v>0</v>
      </c>
      <c r="D7" s="721">
        <v>0</v>
      </c>
      <c r="E7" s="721">
        <v>0</v>
      </c>
      <c r="F7" s="721">
        <v>0</v>
      </c>
      <c r="G7" s="721">
        <v>0</v>
      </c>
      <c r="H7" s="721">
        <v>0</v>
      </c>
      <c r="I7" s="721">
        <v>0</v>
      </c>
      <c r="J7" s="721">
        <v>0</v>
      </c>
      <c r="K7" s="721">
        <v>0</v>
      </c>
      <c r="L7" s="721">
        <v>0</v>
      </c>
      <c r="M7" s="663"/>
    </row>
    <row r="8" spans="1:13">
      <c r="A8" s="481">
        <v>2</v>
      </c>
      <c r="B8" s="496" t="s">
        <v>519</v>
      </c>
      <c r="C8" s="783">
        <v>7500143.5388239957</v>
      </c>
      <c r="D8" s="721">
        <v>7247060.568823996</v>
      </c>
      <c r="E8" s="721">
        <v>5065.8499999999995</v>
      </c>
      <c r="F8" s="784">
        <v>248017.12</v>
      </c>
      <c r="G8" s="784"/>
      <c r="H8" s="721">
        <v>236964.66849609578</v>
      </c>
      <c r="I8" s="784">
        <v>20028.776169101751</v>
      </c>
      <c r="J8" s="784">
        <v>1171.3307477812</v>
      </c>
      <c r="K8" s="784">
        <v>215764.56157921284</v>
      </c>
      <c r="L8" s="784"/>
      <c r="M8" s="663"/>
    </row>
    <row r="9" spans="1:13">
      <c r="A9" s="481">
        <v>3</v>
      </c>
      <c r="B9" s="496" t="s">
        <v>868</v>
      </c>
      <c r="C9" s="783">
        <v>0</v>
      </c>
      <c r="D9" s="721">
        <v>0</v>
      </c>
      <c r="E9" s="721">
        <v>0</v>
      </c>
      <c r="F9" s="785">
        <v>0</v>
      </c>
      <c r="G9" s="785"/>
      <c r="H9" s="721">
        <v>0</v>
      </c>
      <c r="I9" s="785">
        <v>0</v>
      </c>
      <c r="J9" s="785">
        <v>0</v>
      </c>
      <c r="K9" s="785">
        <v>0</v>
      </c>
      <c r="L9" s="785"/>
      <c r="M9" s="663"/>
    </row>
    <row r="10" spans="1:13">
      <c r="A10" s="481">
        <v>4</v>
      </c>
      <c r="B10" s="496" t="s">
        <v>520</v>
      </c>
      <c r="C10" s="783">
        <v>7415081.0903000003</v>
      </c>
      <c r="D10" s="721">
        <v>0</v>
      </c>
      <c r="E10" s="721">
        <v>0</v>
      </c>
      <c r="F10" s="785">
        <v>7415081.0903000003</v>
      </c>
      <c r="G10" s="785"/>
      <c r="H10" s="721">
        <v>875945.2674323367</v>
      </c>
      <c r="I10" s="785">
        <v>0</v>
      </c>
      <c r="J10" s="785">
        <v>0</v>
      </c>
      <c r="K10" s="785">
        <v>875945.2674323367</v>
      </c>
      <c r="L10" s="785"/>
      <c r="M10" s="663"/>
    </row>
    <row r="11" spans="1:13">
      <c r="A11" s="481">
        <v>5</v>
      </c>
      <c r="B11" s="496" t="s">
        <v>521</v>
      </c>
      <c r="C11" s="783">
        <v>6787902.409465</v>
      </c>
      <c r="D11" s="721">
        <v>6066255.7423</v>
      </c>
      <c r="E11" s="721">
        <v>0</v>
      </c>
      <c r="F11" s="785">
        <v>721646.66716499999</v>
      </c>
      <c r="G11" s="785"/>
      <c r="H11" s="721">
        <v>183972.89652272448</v>
      </c>
      <c r="I11" s="785">
        <v>3026.4885065288718</v>
      </c>
      <c r="J11" s="785">
        <v>0</v>
      </c>
      <c r="K11" s="785">
        <v>180946.40801619561</v>
      </c>
      <c r="L11" s="785"/>
      <c r="M11" s="663"/>
    </row>
    <row r="12" spans="1:13">
      <c r="A12" s="481">
        <v>6</v>
      </c>
      <c r="B12" s="496" t="s">
        <v>522</v>
      </c>
      <c r="C12" s="783">
        <v>0</v>
      </c>
      <c r="D12" s="721">
        <v>0</v>
      </c>
      <c r="E12" s="721">
        <v>0</v>
      </c>
      <c r="F12" s="785">
        <v>0</v>
      </c>
      <c r="G12" s="785"/>
      <c r="H12" s="721">
        <v>0</v>
      </c>
      <c r="I12" s="785">
        <v>0</v>
      </c>
      <c r="J12" s="785">
        <v>0</v>
      </c>
      <c r="K12" s="785">
        <v>0</v>
      </c>
      <c r="L12" s="785"/>
      <c r="M12" s="663"/>
    </row>
    <row r="13" spans="1:13">
      <c r="A13" s="481">
        <v>7</v>
      </c>
      <c r="B13" s="496" t="s">
        <v>523</v>
      </c>
      <c r="C13" s="783">
        <v>0</v>
      </c>
      <c r="D13" s="721">
        <v>0</v>
      </c>
      <c r="E13" s="721">
        <v>0</v>
      </c>
      <c r="F13" s="785">
        <v>0</v>
      </c>
      <c r="G13" s="785"/>
      <c r="H13" s="721">
        <v>0</v>
      </c>
      <c r="I13" s="785">
        <v>0</v>
      </c>
      <c r="J13" s="785">
        <v>0</v>
      </c>
      <c r="K13" s="785">
        <v>0</v>
      </c>
      <c r="L13" s="785"/>
      <c r="M13" s="663"/>
    </row>
    <row r="14" spans="1:13">
      <c r="A14" s="481">
        <v>8</v>
      </c>
      <c r="B14" s="496" t="s">
        <v>524</v>
      </c>
      <c r="C14" s="783">
        <v>49665074.799200013</v>
      </c>
      <c r="D14" s="721">
        <v>8660330.4670000002</v>
      </c>
      <c r="E14" s="721">
        <v>0</v>
      </c>
      <c r="F14" s="785">
        <v>41004744.332200013</v>
      </c>
      <c r="G14" s="785"/>
      <c r="H14" s="721">
        <v>1399105.8748413408</v>
      </c>
      <c r="I14" s="785">
        <v>5776.3055010002327</v>
      </c>
      <c r="J14" s="785">
        <v>0</v>
      </c>
      <c r="K14" s="785">
        <v>1393329.5693403406</v>
      </c>
      <c r="L14" s="785"/>
      <c r="M14" s="663"/>
    </row>
    <row r="15" spans="1:13">
      <c r="A15" s="481">
        <v>9</v>
      </c>
      <c r="B15" s="496" t="s">
        <v>525</v>
      </c>
      <c r="C15" s="783">
        <v>33877605.586112998</v>
      </c>
      <c r="D15" s="721">
        <v>148888.63</v>
      </c>
      <c r="E15" s="721">
        <v>2865675.9931129999</v>
      </c>
      <c r="F15" s="785">
        <v>30863040.963</v>
      </c>
      <c r="G15" s="785"/>
      <c r="H15" s="721">
        <v>3035437.1640412975</v>
      </c>
      <c r="I15" s="785">
        <v>50.509260582642192</v>
      </c>
      <c r="J15" s="785">
        <v>48848.417608551274</v>
      </c>
      <c r="K15" s="785">
        <v>2986538.2371721636</v>
      </c>
      <c r="L15" s="785"/>
      <c r="M15" s="663"/>
    </row>
    <row r="16" spans="1:13">
      <c r="A16" s="481">
        <v>10</v>
      </c>
      <c r="B16" s="496" t="s">
        <v>526</v>
      </c>
      <c r="C16" s="783">
        <v>7443.65</v>
      </c>
      <c r="D16" s="721">
        <v>0</v>
      </c>
      <c r="E16" s="721">
        <v>0</v>
      </c>
      <c r="F16" s="785">
        <v>7443.65</v>
      </c>
      <c r="G16" s="785"/>
      <c r="H16" s="721">
        <v>678.80697983518746</v>
      </c>
      <c r="I16" s="785">
        <v>0</v>
      </c>
      <c r="J16" s="785">
        <v>0</v>
      </c>
      <c r="K16" s="785">
        <v>678.80697983518746</v>
      </c>
      <c r="L16" s="785"/>
      <c r="M16" s="663"/>
    </row>
    <row r="17" spans="1:13">
      <c r="A17" s="481">
        <v>11</v>
      </c>
      <c r="B17" s="496" t="s">
        <v>527</v>
      </c>
      <c r="C17" s="783">
        <v>0</v>
      </c>
      <c r="D17" s="721">
        <v>0</v>
      </c>
      <c r="E17" s="721">
        <v>0</v>
      </c>
      <c r="F17" s="785">
        <v>0</v>
      </c>
      <c r="G17" s="785"/>
      <c r="H17" s="721">
        <v>0</v>
      </c>
      <c r="I17" s="785">
        <v>0</v>
      </c>
      <c r="J17" s="785">
        <v>0</v>
      </c>
      <c r="K17" s="785">
        <v>0</v>
      </c>
      <c r="L17" s="785"/>
      <c r="M17" s="663"/>
    </row>
    <row r="18" spans="1:13">
      <c r="A18" s="481">
        <v>12</v>
      </c>
      <c r="B18" s="496" t="s">
        <v>528</v>
      </c>
      <c r="C18" s="783">
        <v>6172984.9924999997</v>
      </c>
      <c r="D18" s="721">
        <v>5331141.7725</v>
      </c>
      <c r="E18" s="721">
        <v>0</v>
      </c>
      <c r="F18" s="785">
        <v>841843.22</v>
      </c>
      <c r="G18" s="785"/>
      <c r="H18" s="721">
        <v>599438.57063651248</v>
      </c>
      <c r="I18" s="785">
        <v>6231.1685924305402</v>
      </c>
      <c r="J18" s="785">
        <v>0</v>
      </c>
      <c r="K18" s="785">
        <v>593207.40204408194</v>
      </c>
      <c r="L18" s="785"/>
      <c r="M18" s="663"/>
    </row>
    <row r="19" spans="1:13">
      <c r="A19" s="481">
        <v>13</v>
      </c>
      <c r="B19" s="496" t="s">
        <v>529</v>
      </c>
      <c r="C19" s="783">
        <v>4045789.321831</v>
      </c>
      <c r="D19" s="721">
        <v>0</v>
      </c>
      <c r="E19" s="721">
        <v>4045789.321831</v>
      </c>
      <c r="F19" s="785">
        <v>0</v>
      </c>
      <c r="G19" s="785"/>
      <c r="H19" s="721">
        <v>71877.368515134454</v>
      </c>
      <c r="I19" s="785">
        <v>0</v>
      </c>
      <c r="J19" s="785">
        <v>71877.368515134454</v>
      </c>
      <c r="K19" s="785">
        <v>0</v>
      </c>
      <c r="L19" s="785"/>
      <c r="M19" s="663"/>
    </row>
    <row r="20" spans="1:13">
      <c r="A20" s="481">
        <v>14</v>
      </c>
      <c r="B20" s="496" t="s">
        <v>530</v>
      </c>
      <c r="C20" s="783">
        <v>37526730.274000995</v>
      </c>
      <c r="D20" s="721">
        <v>24351273.744338997</v>
      </c>
      <c r="E20" s="721">
        <v>3106765.3096620003</v>
      </c>
      <c r="F20" s="785">
        <v>10068691.220000001</v>
      </c>
      <c r="G20" s="785"/>
      <c r="H20" s="721">
        <v>3045651.3409574227</v>
      </c>
      <c r="I20" s="785">
        <v>231670.19948875561</v>
      </c>
      <c r="J20" s="785">
        <v>9533.6167370359108</v>
      </c>
      <c r="K20" s="785">
        <v>2804447.5247316314</v>
      </c>
      <c r="L20" s="785"/>
      <c r="M20" s="663"/>
    </row>
    <row r="21" spans="1:13">
      <c r="A21" s="481">
        <v>15</v>
      </c>
      <c r="B21" s="496" t="s">
        <v>531</v>
      </c>
      <c r="C21" s="783">
        <v>0</v>
      </c>
      <c r="D21" s="721">
        <v>0</v>
      </c>
      <c r="E21" s="721">
        <v>0</v>
      </c>
      <c r="F21" s="785">
        <v>0</v>
      </c>
      <c r="G21" s="785"/>
      <c r="H21" s="721">
        <v>0</v>
      </c>
      <c r="I21" s="785">
        <v>0</v>
      </c>
      <c r="J21" s="785">
        <v>0</v>
      </c>
      <c r="K21" s="785">
        <v>0</v>
      </c>
      <c r="L21" s="785"/>
      <c r="M21" s="663"/>
    </row>
    <row r="22" spans="1:13">
      <c r="A22" s="481">
        <v>16</v>
      </c>
      <c r="B22" s="496" t="s">
        <v>532</v>
      </c>
      <c r="C22" s="783">
        <v>0</v>
      </c>
      <c r="D22" s="721">
        <v>0</v>
      </c>
      <c r="E22" s="721">
        <v>0</v>
      </c>
      <c r="F22" s="785">
        <v>0</v>
      </c>
      <c r="G22" s="785"/>
      <c r="H22" s="721">
        <v>0</v>
      </c>
      <c r="I22" s="785">
        <v>0</v>
      </c>
      <c r="J22" s="785">
        <v>0</v>
      </c>
      <c r="K22" s="785">
        <v>0</v>
      </c>
      <c r="L22" s="785"/>
      <c r="M22" s="663"/>
    </row>
    <row r="23" spans="1:13">
      <c r="A23" s="481">
        <v>17</v>
      </c>
      <c r="B23" s="496" t="s">
        <v>533</v>
      </c>
      <c r="C23" s="783">
        <v>17095077.662785999</v>
      </c>
      <c r="D23" s="721">
        <v>0</v>
      </c>
      <c r="E23" s="721">
        <v>13250478.102685999</v>
      </c>
      <c r="F23" s="785">
        <v>3844599.5600999999</v>
      </c>
      <c r="G23" s="785"/>
      <c r="H23" s="721">
        <v>2003103.2771830817</v>
      </c>
      <c r="I23" s="785">
        <v>0</v>
      </c>
      <c r="J23" s="785">
        <v>72373.459706029797</v>
      </c>
      <c r="K23" s="785">
        <v>1930729.8174770519</v>
      </c>
      <c r="L23" s="785"/>
      <c r="M23" s="663"/>
    </row>
    <row r="24" spans="1:13">
      <c r="A24" s="481">
        <v>18</v>
      </c>
      <c r="B24" s="496" t="s">
        <v>534</v>
      </c>
      <c r="C24" s="783">
        <v>0</v>
      </c>
      <c r="D24" s="721">
        <v>0</v>
      </c>
      <c r="E24" s="721">
        <v>0</v>
      </c>
      <c r="F24" s="785">
        <v>0</v>
      </c>
      <c r="G24" s="785"/>
      <c r="H24" s="721">
        <v>0</v>
      </c>
      <c r="I24" s="785">
        <v>0</v>
      </c>
      <c r="J24" s="785">
        <v>0</v>
      </c>
      <c r="K24" s="785">
        <v>0</v>
      </c>
      <c r="L24" s="785"/>
      <c r="M24" s="663"/>
    </row>
    <row r="25" spans="1:13">
      <c r="A25" s="481">
        <v>19</v>
      </c>
      <c r="B25" s="496" t="s">
        <v>535</v>
      </c>
      <c r="C25" s="783">
        <v>0</v>
      </c>
      <c r="D25" s="721">
        <v>0</v>
      </c>
      <c r="E25" s="721">
        <v>0</v>
      </c>
      <c r="F25" s="785">
        <v>0</v>
      </c>
      <c r="G25" s="785"/>
      <c r="H25" s="721">
        <v>0</v>
      </c>
      <c r="I25" s="785">
        <v>0</v>
      </c>
      <c r="J25" s="785">
        <v>0</v>
      </c>
      <c r="K25" s="785">
        <v>0</v>
      </c>
      <c r="L25" s="785"/>
      <c r="M25" s="663"/>
    </row>
    <row r="26" spans="1:13">
      <c r="A26" s="481">
        <v>20</v>
      </c>
      <c r="B26" s="496" t="s">
        <v>536</v>
      </c>
      <c r="C26" s="783">
        <v>7656599.5199999996</v>
      </c>
      <c r="D26" s="721">
        <v>7656599.5199999996</v>
      </c>
      <c r="E26" s="721">
        <v>0</v>
      </c>
      <c r="F26" s="785">
        <v>0</v>
      </c>
      <c r="G26" s="785"/>
      <c r="H26" s="721">
        <v>6868.043724571271</v>
      </c>
      <c r="I26" s="785">
        <v>6868.043724571271</v>
      </c>
      <c r="J26" s="785">
        <v>0</v>
      </c>
      <c r="K26" s="785">
        <v>0</v>
      </c>
      <c r="L26" s="785"/>
      <c r="M26" s="663"/>
    </row>
    <row r="27" spans="1:13">
      <c r="A27" s="481">
        <v>21</v>
      </c>
      <c r="B27" s="496" t="s">
        <v>537</v>
      </c>
      <c r="C27" s="783">
        <v>0</v>
      </c>
      <c r="D27" s="721">
        <v>0</v>
      </c>
      <c r="E27" s="721">
        <v>0</v>
      </c>
      <c r="F27" s="785">
        <v>0</v>
      </c>
      <c r="G27" s="785"/>
      <c r="H27" s="721">
        <v>0</v>
      </c>
      <c r="I27" s="785">
        <v>0</v>
      </c>
      <c r="J27" s="785">
        <v>0</v>
      </c>
      <c r="K27" s="785">
        <v>0</v>
      </c>
      <c r="L27" s="785"/>
      <c r="M27" s="663"/>
    </row>
    <row r="28" spans="1:13">
      <c r="A28" s="481">
        <v>22</v>
      </c>
      <c r="B28" s="496" t="s">
        <v>538</v>
      </c>
      <c r="C28" s="783">
        <v>0</v>
      </c>
      <c r="D28" s="721">
        <v>0</v>
      </c>
      <c r="E28" s="721">
        <v>0</v>
      </c>
      <c r="F28" s="785">
        <v>0</v>
      </c>
      <c r="G28" s="785"/>
      <c r="H28" s="721">
        <v>0</v>
      </c>
      <c r="I28" s="785">
        <v>0</v>
      </c>
      <c r="J28" s="785">
        <v>0</v>
      </c>
      <c r="K28" s="785">
        <v>0</v>
      </c>
      <c r="L28" s="785"/>
      <c r="M28" s="663"/>
    </row>
    <row r="29" spans="1:13">
      <c r="A29" s="481">
        <v>23</v>
      </c>
      <c r="B29" s="496" t="s">
        <v>539</v>
      </c>
      <c r="C29" s="783">
        <v>12940077.699720001</v>
      </c>
      <c r="D29" s="721">
        <v>256332.34992000001</v>
      </c>
      <c r="E29" s="721">
        <v>0</v>
      </c>
      <c r="F29" s="785">
        <v>12683745.3498</v>
      </c>
      <c r="G29" s="785"/>
      <c r="H29" s="721">
        <v>4262437.6796531174</v>
      </c>
      <c r="I29" s="785">
        <v>461.50100502069603</v>
      </c>
      <c r="J29" s="785">
        <v>0</v>
      </c>
      <c r="K29" s="785">
        <v>4261976.1786480965</v>
      </c>
      <c r="L29" s="785"/>
      <c r="M29" s="663"/>
    </row>
    <row r="30" spans="1:13">
      <c r="A30" s="481">
        <v>24</v>
      </c>
      <c r="B30" s="496" t="s">
        <v>540</v>
      </c>
      <c r="C30" s="783">
        <v>5485701.3648999995</v>
      </c>
      <c r="D30" s="721">
        <v>828256.53139999998</v>
      </c>
      <c r="E30" s="721">
        <v>0</v>
      </c>
      <c r="F30" s="785">
        <v>4657444.8334999997</v>
      </c>
      <c r="G30" s="785"/>
      <c r="H30" s="721">
        <v>1230380.4599704994</v>
      </c>
      <c r="I30" s="785">
        <v>1791.0509419334389</v>
      </c>
      <c r="J30" s="785">
        <v>0</v>
      </c>
      <c r="K30" s="785">
        <v>1228589.409028566</v>
      </c>
      <c r="L30" s="785"/>
      <c r="M30" s="663"/>
    </row>
    <row r="31" spans="1:13">
      <c r="A31" s="481">
        <v>25</v>
      </c>
      <c r="B31" s="496" t="s">
        <v>541</v>
      </c>
      <c r="C31" s="783">
        <v>0</v>
      </c>
      <c r="D31" s="721">
        <v>0</v>
      </c>
      <c r="E31" s="721">
        <v>0</v>
      </c>
      <c r="F31" s="785">
        <v>0</v>
      </c>
      <c r="G31" s="785"/>
      <c r="H31" s="721">
        <v>0</v>
      </c>
      <c r="I31" s="785">
        <v>0</v>
      </c>
      <c r="J31" s="785">
        <v>0</v>
      </c>
      <c r="K31" s="785">
        <v>0</v>
      </c>
      <c r="L31" s="785"/>
      <c r="M31" s="663"/>
    </row>
    <row r="32" spans="1:13">
      <c r="A32" s="481">
        <v>26</v>
      </c>
      <c r="B32" s="496" t="s">
        <v>597</v>
      </c>
      <c r="C32" s="783">
        <v>1255750.2746019997</v>
      </c>
      <c r="D32" s="721">
        <v>875886.83400199981</v>
      </c>
      <c r="E32" s="721">
        <v>0</v>
      </c>
      <c r="F32" s="785">
        <v>379863.44059999997</v>
      </c>
      <c r="G32" s="785"/>
      <c r="H32" s="721">
        <v>166426.30898407378</v>
      </c>
      <c r="I32" s="785">
        <v>4986.1239555024003</v>
      </c>
      <c r="J32" s="785">
        <v>0</v>
      </c>
      <c r="K32" s="785">
        <v>161440.18502857137</v>
      </c>
      <c r="L32" s="785"/>
      <c r="M32" s="663"/>
    </row>
    <row r="33" spans="1:12" ht="15">
      <c r="A33" s="481">
        <v>27</v>
      </c>
      <c r="B33" s="548" t="s">
        <v>66</v>
      </c>
      <c r="C33" s="698">
        <f>SUM(C7:C32)</f>
        <v>197431962.18424201</v>
      </c>
      <c r="D33" s="698">
        <f t="shared" ref="D33:L33" si="0">SUM(D7:D32)</f>
        <v>61422026.160284996</v>
      </c>
      <c r="E33" s="698">
        <f t="shared" si="0"/>
        <v>23273774.577291999</v>
      </c>
      <c r="F33" s="698">
        <f t="shared" si="0"/>
        <v>112736161.44666502</v>
      </c>
      <c r="G33" s="698">
        <f t="shared" si="0"/>
        <v>0</v>
      </c>
      <c r="H33" s="698">
        <f t="shared" si="0"/>
        <v>17118287.727938045</v>
      </c>
      <c r="I33" s="698">
        <f t="shared" si="0"/>
        <v>280890.16714542743</v>
      </c>
      <c r="J33" s="698">
        <f t="shared" si="0"/>
        <v>203804.19331453263</v>
      </c>
      <c r="K33" s="698">
        <f t="shared" si="0"/>
        <v>16633593.367478082</v>
      </c>
      <c r="L33" s="698">
        <f t="shared" si="0"/>
        <v>0</v>
      </c>
    </row>
    <row r="34" spans="1:12">
      <c r="A34" s="509"/>
      <c r="B34" s="509"/>
      <c r="C34" s="700">
        <f>C33-'23. LTV'!C8</f>
        <v>0</v>
      </c>
      <c r="D34" s="509"/>
      <c r="E34" s="509"/>
      <c r="H34" s="509"/>
    </row>
    <row r="35" spans="1:12">
      <c r="A35" s="509"/>
      <c r="B35" s="547"/>
      <c r="C35" s="547"/>
      <c r="D35" s="509"/>
      <c r="E35" s="509"/>
      <c r="H35" s="509"/>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
  <sheetViews>
    <sheetView showGridLines="0" topLeftCell="C1" zoomScale="70" zoomScaleNormal="70" workbookViewId="0">
      <selection activeCell="C6" sqref="C6:K9"/>
    </sheetView>
  </sheetViews>
  <sheetFormatPr defaultColWidth="8.7109375" defaultRowHeight="12"/>
  <cols>
    <col min="1" max="1" width="11.7109375" style="390" bestFit="1" customWidth="1"/>
    <col min="2" max="2" width="48.28515625" style="390" customWidth="1"/>
    <col min="3" max="11" width="28.28515625" style="390" customWidth="1"/>
    <col min="12" max="12" width="13" style="390" bestFit="1" customWidth="1"/>
    <col min="13" max="16384" width="8.7109375" style="390"/>
  </cols>
  <sheetData>
    <row r="1" spans="1:12" s="380" customFormat="1" ht="13.5">
      <c r="A1" s="379" t="s">
        <v>108</v>
      </c>
      <c r="B1" s="306" t="str">
        <f>Info!C2</f>
        <v>JSC "VTB Bank (Georgia)"</v>
      </c>
      <c r="C1" s="492"/>
      <c r="D1" s="492"/>
      <c r="E1" s="492"/>
      <c r="F1" s="492"/>
      <c r="G1" s="492"/>
      <c r="H1" s="492"/>
      <c r="I1" s="492"/>
      <c r="J1" s="492"/>
      <c r="K1" s="492"/>
    </row>
    <row r="2" spans="1:12" s="380" customFormat="1" ht="12.75">
      <c r="A2" s="381" t="s">
        <v>109</v>
      </c>
      <c r="B2" s="383">
        <f>Info!D2</f>
        <v>45565</v>
      </c>
      <c r="C2" s="492"/>
      <c r="D2" s="492"/>
      <c r="E2" s="492"/>
      <c r="F2" s="492"/>
      <c r="G2" s="492"/>
      <c r="H2" s="492"/>
      <c r="I2" s="492"/>
      <c r="J2" s="492"/>
      <c r="K2" s="492"/>
    </row>
    <row r="3" spans="1:12" s="380" customFormat="1" ht="12.75">
      <c r="A3" s="382" t="s">
        <v>598</v>
      </c>
      <c r="B3" s="492"/>
      <c r="C3" s="492"/>
      <c r="D3" s="492"/>
      <c r="E3" s="492"/>
      <c r="F3" s="492"/>
      <c r="G3" s="492"/>
      <c r="H3" s="492"/>
      <c r="I3" s="492"/>
      <c r="J3" s="492"/>
      <c r="K3" s="492"/>
    </row>
    <row r="4" spans="1:12">
      <c r="A4" s="554"/>
      <c r="B4" s="554"/>
      <c r="C4" s="553" t="s">
        <v>502</v>
      </c>
      <c r="D4" s="553" t="s">
        <v>503</v>
      </c>
      <c r="E4" s="553" t="s">
        <v>504</v>
      </c>
      <c r="F4" s="553" t="s">
        <v>505</v>
      </c>
      <c r="G4" s="553" t="s">
        <v>506</v>
      </c>
      <c r="H4" s="553" t="s">
        <v>507</v>
      </c>
      <c r="I4" s="553" t="s">
        <v>508</v>
      </c>
      <c r="J4" s="553" t="s">
        <v>509</v>
      </c>
      <c r="K4" s="553" t="s">
        <v>510</v>
      </c>
    </row>
    <row r="5" spans="1:12" ht="104.1" customHeight="1">
      <c r="A5" s="924" t="s">
        <v>906</v>
      </c>
      <c r="B5" s="925"/>
      <c r="C5" s="552" t="s">
        <v>599</v>
      </c>
      <c r="D5" s="552" t="s">
        <v>592</v>
      </c>
      <c r="E5" s="552" t="s">
        <v>593</v>
      </c>
      <c r="F5" s="552" t="s">
        <v>905</v>
      </c>
      <c r="G5" s="552" t="s">
        <v>600</v>
      </c>
      <c r="H5" s="552" t="s">
        <v>601</v>
      </c>
      <c r="I5" s="552" t="s">
        <v>602</v>
      </c>
      <c r="J5" s="552" t="s">
        <v>603</v>
      </c>
      <c r="K5" s="552" t="s">
        <v>604</v>
      </c>
    </row>
    <row r="6" spans="1:12" ht="12.75">
      <c r="A6" s="481">
        <v>1</v>
      </c>
      <c r="B6" s="481" t="s">
        <v>605</v>
      </c>
      <c r="C6" s="786">
        <v>802113.81400000001</v>
      </c>
      <c r="D6" s="786">
        <v>44648.72</v>
      </c>
      <c r="E6" s="786">
        <v>0</v>
      </c>
      <c r="F6" s="786">
        <v>0</v>
      </c>
      <c r="G6" s="786">
        <v>157722856.09211397</v>
      </c>
      <c r="H6" s="786">
        <v>4169288.713</v>
      </c>
      <c r="I6" s="786">
        <v>13543210.065506</v>
      </c>
      <c r="J6" s="786">
        <v>3339797.7484999998</v>
      </c>
      <c r="K6" s="786">
        <v>17810047.031121995</v>
      </c>
    </row>
    <row r="7" spans="1:12" ht="12.75">
      <c r="A7" s="481">
        <v>2</v>
      </c>
      <c r="B7" s="482" t="s">
        <v>606</v>
      </c>
      <c r="C7" s="786"/>
      <c r="D7" s="786"/>
      <c r="E7" s="786"/>
      <c r="F7" s="786"/>
      <c r="G7" s="786"/>
      <c r="H7" s="786"/>
      <c r="I7" s="786"/>
      <c r="J7" s="786"/>
      <c r="K7" s="786"/>
    </row>
    <row r="8" spans="1:12" ht="12.75">
      <c r="A8" s="481">
        <v>3</v>
      </c>
      <c r="B8" s="482" t="s">
        <v>570</v>
      </c>
      <c r="C8" s="786">
        <v>45801.223299999998</v>
      </c>
      <c r="D8" s="786">
        <v>0</v>
      </c>
      <c r="E8" s="786">
        <v>0</v>
      </c>
      <c r="F8" s="786">
        <v>0</v>
      </c>
      <c r="G8" s="786">
        <v>47784.804799999998</v>
      </c>
      <c r="H8" s="786">
        <v>0</v>
      </c>
      <c r="I8" s="786">
        <v>0</v>
      </c>
      <c r="J8" s="786">
        <v>0</v>
      </c>
      <c r="K8" s="786">
        <v>122215.1952</v>
      </c>
    </row>
    <row r="9" spans="1:12" ht="12.75">
      <c r="A9" s="481">
        <v>4</v>
      </c>
      <c r="B9" s="511" t="s">
        <v>904</v>
      </c>
      <c r="C9" s="787">
        <v>761168.31400000001</v>
      </c>
      <c r="D9" s="787">
        <v>0</v>
      </c>
      <c r="E9" s="787">
        <v>0</v>
      </c>
      <c r="F9" s="787">
        <v>0</v>
      </c>
      <c r="G9" s="787">
        <v>96591045.308564976</v>
      </c>
      <c r="H9" s="787">
        <v>4169288.713</v>
      </c>
      <c r="I9" s="787">
        <v>6031809.0265999995</v>
      </c>
      <c r="J9" s="787">
        <v>2889764.5368999997</v>
      </c>
      <c r="K9" s="787">
        <v>2293085.5476000006</v>
      </c>
      <c r="L9" s="699">
        <f>SUM(C9:K9)-'18. Assets by Exposure classes'!C22</f>
        <v>-0.46333502233028412</v>
      </c>
    </row>
    <row r="10" spans="1:12" ht="12.75">
      <c r="A10" s="481">
        <v>5</v>
      </c>
      <c r="B10" s="500" t="s">
        <v>903</v>
      </c>
      <c r="C10" s="551"/>
      <c r="D10" s="551"/>
      <c r="E10" s="551"/>
      <c r="F10" s="551"/>
      <c r="G10" s="551"/>
      <c r="H10" s="551"/>
      <c r="I10" s="551"/>
      <c r="J10" s="551"/>
      <c r="K10" s="551"/>
    </row>
    <row r="11" spans="1:12" ht="12.75">
      <c r="A11" s="481">
        <v>6</v>
      </c>
      <c r="B11" s="500" t="s">
        <v>902</v>
      </c>
      <c r="C11" s="551"/>
      <c r="D11" s="551"/>
      <c r="E11" s="551"/>
      <c r="F11" s="551"/>
      <c r="G11" s="551"/>
      <c r="H11" s="551"/>
      <c r="I11" s="551"/>
      <c r="J11" s="551"/>
      <c r="K11" s="551"/>
    </row>
    <row r="13" spans="1:12" ht="15">
      <c r="B13" s="550"/>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topLeftCell="B1" zoomScale="55" zoomScaleNormal="55" workbookViewId="0">
      <selection activeCell="B7" sqref="B7"/>
    </sheetView>
  </sheetViews>
  <sheetFormatPr defaultColWidth="8.7109375" defaultRowHeight="15"/>
  <cols>
    <col min="1" max="1" width="10" style="555" bestFit="1" customWidth="1"/>
    <col min="2" max="2" width="71.7109375" style="555" customWidth="1"/>
    <col min="3" max="3" width="11.42578125" style="555" bestFit="1" customWidth="1"/>
    <col min="4" max="5" width="15.28515625" style="555" bestFit="1" customWidth="1"/>
    <col min="6" max="6" width="20" style="555" bestFit="1" customWidth="1"/>
    <col min="7" max="7" width="37.7109375" style="555" bestFit="1" customWidth="1"/>
    <col min="8" max="8" width="11.28515625" style="555" bestFit="1" customWidth="1"/>
    <col min="9" max="10" width="15.28515625" style="555" bestFit="1" customWidth="1"/>
    <col min="11" max="11" width="20" style="555" bestFit="1" customWidth="1"/>
    <col min="12" max="12" width="37.7109375" style="555" bestFit="1" customWidth="1"/>
    <col min="13" max="13" width="10.7109375" style="555" bestFit="1" customWidth="1"/>
    <col min="14" max="15" width="15.28515625" style="555" bestFit="1" customWidth="1"/>
    <col min="16" max="16" width="20" style="555" bestFit="1" customWidth="1"/>
    <col min="17" max="17" width="37.7109375" style="555" bestFit="1" customWidth="1"/>
    <col min="18" max="18" width="18" style="555" bestFit="1" customWidth="1"/>
    <col min="19" max="19" width="48" style="555" bestFit="1" customWidth="1"/>
    <col min="20" max="20" width="45.7109375" style="555" bestFit="1" customWidth="1"/>
    <col min="21" max="21" width="48" style="555" bestFit="1" customWidth="1"/>
    <col min="22" max="22" width="44.28515625" style="555" bestFit="1" customWidth="1"/>
    <col min="23" max="16384" width="8.7109375" style="555"/>
  </cols>
  <sheetData>
    <row r="1" spans="1:22">
      <c r="A1" s="379" t="s">
        <v>108</v>
      </c>
      <c r="B1" s="306" t="str">
        <f>Info!C2</f>
        <v>JSC "VTB Bank (Georgia)"</v>
      </c>
    </row>
    <row r="2" spans="1:22">
      <c r="A2" s="381" t="s">
        <v>109</v>
      </c>
      <c r="B2" s="383">
        <f>Info!D2</f>
        <v>45565</v>
      </c>
    </row>
    <row r="3" spans="1:22">
      <c r="A3" s="382" t="s">
        <v>689</v>
      </c>
      <c r="B3" s="492"/>
    </row>
    <row r="4" spans="1:22">
      <c r="A4" s="382"/>
      <c r="B4" s="492"/>
    </row>
    <row r="5" spans="1:22" ht="24" customHeight="1">
      <c r="A5" s="926" t="s">
        <v>716</v>
      </c>
      <c r="B5" s="926"/>
      <c r="C5" s="928" t="s">
        <v>908</v>
      </c>
      <c r="D5" s="928"/>
      <c r="E5" s="928"/>
      <c r="F5" s="928"/>
      <c r="G5" s="928"/>
      <c r="H5" s="928" t="s">
        <v>596</v>
      </c>
      <c r="I5" s="928"/>
      <c r="J5" s="928"/>
      <c r="K5" s="928"/>
      <c r="L5" s="928"/>
      <c r="M5" s="928" t="s">
        <v>907</v>
      </c>
      <c r="N5" s="928"/>
      <c r="O5" s="928"/>
      <c r="P5" s="928"/>
      <c r="Q5" s="928"/>
      <c r="R5" s="927" t="s">
        <v>715</v>
      </c>
      <c r="S5" s="927" t="s">
        <v>719</v>
      </c>
      <c r="T5" s="927" t="s">
        <v>718</v>
      </c>
      <c r="U5" s="927" t="s">
        <v>956</v>
      </c>
      <c r="V5" s="927" t="s">
        <v>957</v>
      </c>
    </row>
    <row r="6" spans="1:22" ht="36" customHeight="1">
      <c r="A6" s="926"/>
      <c r="B6" s="926"/>
      <c r="C6" s="565"/>
      <c r="D6" s="490" t="s">
        <v>892</v>
      </c>
      <c r="E6" s="490" t="s">
        <v>891</v>
      </c>
      <c r="F6" s="490" t="s">
        <v>890</v>
      </c>
      <c r="G6" s="490" t="s">
        <v>889</v>
      </c>
      <c r="H6" s="565"/>
      <c r="I6" s="490" t="s">
        <v>892</v>
      </c>
      <c r="J6" s="490" t="s">
        <v>891</v>
      </c>
      <c r="K6" s="490" t="s">
        <v>890</v>
      </c>
      <c r="L6" s="490" t="s">
        <v>889</v>
      </c>
      <c r="M6" s="565"/>
      <c r="N6" s="490" t="s">
        <v>892</v>
      </c>
      <c r="O6" s="490" t="s">
        <v>891</v>
      </c>
      <c r="P6" s="490" t="s">
        <v>890</v>
      </c>
      <c r="Q6" s="490" t="s">
        <v>889</v>
      </c>
      <c r="R6" s="927"/>
      <c r="S6" s="927"/>
      <c r="T6" s="927"/>
      <c r="U6" s="927"/>
      <c r="V6" s="927"/>
    </row>
    <row r="7" spans="1:22">
      <c r="A7" s="563">
        <v>1</v>
      </c>
      <c r="B7" s="564" t="s">
        <v>690</v>
      </c>
      <c r="C7" s="788">
        <v>362919.74473999999</v>
      </c>
      <c r="D7" s="788">
        <v>362919.74473999999</v>
      </c>
      <c r="E7" s="788">
        <v>0</v>
      </c>
      <c r="F7" s="788">
        <v>0</v>
      </c>
      <c r="G7" s="788"/>
      <c r="H7" s="788">
        <v>366147.89824000001</v>
      </c>
      <c r="I7" s="788">
        <v>366147.89824000001</v>
      </c>
      <c r="J7" s="788">
        <v>0</v>
      </c>
      <c r="K7" s="788">
        <v>0</v>
      </c>
      <c r="L7" s="788"/>
      <c r="M7" s="788">
        <v>4191.3893065838001</v>
      </c>
      <c r="N7" s="788">
        <v>4191.3893065838001</v>
      </c>
      <c r="O7" s="788">
        <v>0</v>
      </c>
      <c r="P7" s="788">
        <v>0</v>
      </c>
      <c r="Q7" s="788"/>
      <c r="R7" s="788">
        <v>3</v>
      </c>
      <c r="S7" s="788">
        <v>0</v>
      </c>
      <c r="T7" s="788">
        <v>0</v>
      </c>
      <c r="U7" s="788">
        <v>4.5207213820107464E-2</v>
      </c>
      <c r="V7" s="788">
        <v>111.03617404134222</v>
      </c>
    </row>
    <row r="8" spans="1:22">
      <c r="A8" s="563">
        <v>2</v>
      </c>
      <c r="B8" s="562" t="s">
        <v>691</v>
      </c>
      <c r="C8" s="788">
        <v>920480.85609999998</v>
      </c>
      <c r="D8" s="788">
        <v>714614.52610000002</v>
      </c>
      <c r="E8" s="788">
        <v>4925.07</v>
      </c>
      <c r="F8" s="788">
        <v>200941.26</v>
      </c>
      <c r="G8" s="788"/>
      <c r="H8" s="788">
        <v>1002819.1136000003</v>
      </c>
      <c r="I8" s="788">
        <v>725492.3936000003</v>
      </c>
      <c r="J8" s="788">
        <v>5065.8499999999995</v>
      </c>
      <c r="K8" s="788">
        <v>272260.87</v>
      </c>
      <c r="L8" s="788"/>
      <c r="M8" s="788">
        <v>244537.33965414201</v>
      </c>
      <c r="N8" s="788">
        <v>3343.2220513851994</v>
      </c>
      <c r="O8" s="788">
        <v>1171.3307477812</v>
      </c>
      <c r="P8" s="788">
        <v>240022.78685497559</v>
      </c>
      <c r="Q8" s="788"/>
      <c r="R8" s="788">
        <v>69</v>
      </c>
      <c r="S8" s="788">
        <v>0.15</v>
      </c>
      <c r="T8" s="788">
        <v>0.16070399999999999</v>
      </c>
      <c r="U8" s="788">
        <v>0.10327326187180652</v>
      </c>
      <c r="V8" s="788">
        <v>89.210771336274505</v>
      </c>
    </row>
    <row r="9" spans="1:22">
      <c r="A9" s="563">
        <v>3</v>
      </c>
      <c r="B9" s="562" t="s">
        <v>692</v>
      </c>
      <c r="C9" s="788">
        <v>92.83</v>
      </c>
      <c r="D9" s="788">
        <v>0</v>
      </c>
      <c r="E9" s="788">
        <v>0</v>
      </c>
      <c r="F9" s="788">
        <v>92.83</v>
      </c>
      <c r="G9" s="788"/>
      <c r="H9" s="788">
        <v>92.83</v>
      </c>
      <c r="I9" s="788">
        <v>0</v>
      </c>
      <c r="J9" s="788">
        <v>0</v>
      </c>
      <c r="K9" s="788">
        <v>92.83</v>
      </c>
      <c r="L9" s="788"/>
      <c r="M9" s="788">
        <v>78.354724237200003</v>
      </c>
      <c r="N9" s="788">
        <v>0</v>
      </c>
      <c r="O9" s="788">
        <v>0</v>
      </c>
      <c r="P9" s="788">
        <v>78.354724237200003</v>
      </c>
      <c r="Q9" s="788"/>
      <c r="R9" s="788">
        <v>1</v>
      </c>
      <c r="S9" s="788" t="s">
        <v>986</v>
      </c>
      <c r="T9" s="788" t="s">
        <v>986</v>
      </c>
      <c r="U9" s="788">
        <v>0</v>
      </c>
      <c r="V9" s="788">
        <v>0</v>
      </c>
    </row>
    <row r="10" spans="1:22">
      <c r="A10" s="563">
        <v>4</v>
      </c>
      <c r="B10" s="562" t="s">
        <v>693</v>
      </c>
      <c r="C10" s="788">
        <v>0</v>
      </c>
      <c r="D10" s="788">
        <v>0</v>
      </c>
      <c r="E10" s="788">
        <v>0</v>
      </c>
      <c r="F10" s="788">
        <v>0</v>
      </c>
      <c r="G10" s="788"/>
      <c r="H10" s="788">
        <v>0</v>
      </c>
      <c r="I10" s="788">
        <v>0</v>
      </c>
      <c r="J10" s="788">
        <v>0</v>
      </c>
      <c r="K10" s="788">
        <v>0</v>
      </c>
      <c r="L10" s="788"/>
      <c r="M10" s="788">
        <v>0</v>
      </c>
      <c r="N10" s="788">
        <v>0</v>
      </c>
      <c r="O10" s="788">
        <v>0</v>
      </c>
      <c r="P10" s="788">
        <v>0</v>
      </c>
      <c r="Q10" s="788"/>
      <c r="R10" s="788">
        <v>0</v>
      </c>
      <c r="S10" s="788" t="s">
        <v>986</v>
      </c>
      <c r="T10" s="788" t="s">
        <v>986</v>
      </c>
      <c r="U10" s="788">
        <v>0</v>
      </c>
      <c r="V10" s="788">
        <v>0</v>
      </c>
    </row>
    <row r="11" spans="1:22">
      <c r="A11" s="563">
        <v>5</v>
      </c>
      <c r="B11" s="562" t="s">
        <v>694</v>
      </c>
      <c r="C11" s="788">
        <v>0</v>
      </c>
      <c r="D11" s="788">
        <v>0</v>
      </c>
      <c r="E11" s="788">
        <v>0</v>
      </c>
      <c r="F11" s="788">
        <v>0</v>
      </c>
      <c r="G11" s="788"/>
      <c r="H11" s="788">
        <v>0</v>
      </c>
      <c r="I11" s="788">
        <v>0</v>
      </c>
      <c r="J11" s="788">
        <v>0</v>
      </c>
      <c r="K11" s="788">
        <v>0</v>
      </c>
      <c r="L11" s="788"/>
      <c r="M11" s="788">
        <v>0</v>
      </c>
      <c r="N11" s="788">
        <v>0</v>
      </c>
      <c r="O11" s="788">
        <v>0</v>
      </c>
      <c r="P11" s="788">
        <v>0</v>
      </c>
      <c r="Q11" s="788"/>
      <c r="R11" s="788">
        <v>0</v>
      </c>
      <c r="S11" s="788">
        <v>0</v>
      </c>
      <c r="T11" s="788">
        <v>0</v>
      </c>
      <c r="U11" s="788">
        <v>0</v>
      </c>
      <c r="V11" s="788">
        <v>0</v>
      </c>
    </row>
    <row r="12" spans="1:22">
      <c r="A12" s="563">
        <v>6</v>
      </c>
      <c r="B12" s="562" t="s">
        <v>695</v>
      </c>
      <c r="C12" s="788">
        <v>0</v>
      </c>
      <c r="D12" s="788">
        <v>0</v>
      </c>
      <c r="E12" s="788">
        <v>0</v>
      </c>
      <c r="F12" s="788">
        <v>0</v>
      </c>
      <c r="G12" s="788"/>
      <c r="H12" s="788">
        <v>0</v>
      </c>
      <c r="I12" s="788">
        <v>0</v>
      </c>
      <c r="J12" s="788">
        <v>0</v>
      </c>
      <c r="K12" s="788">
        <v>0</v>
      </c>
      <c r="L12" s="788"/>
      <c r="M12" s="788">
        <v>0</v>
      </c>
      <c r="N12" s="788">
        <v>0</v>
      </c>
      <c r="O12" s="788">
        <v>0</v>
      </c>
      <c r="P12" s="788">
        <v>0</v>
      </c>
      <c r="Q12" s="788"/>
      <c r="R12" s="788">
        <v>0</v>
      </c>
      <c r="S12" s="788">
        <v>0</v>
      </c>
      <c r="T12" s="788">
        <v>0</v>
      </c>
      <c r="U12" s="788">
        <v>0</v>
      </c>
      <c r="V12" s="788">
        <v>0</v>
      </c>
    </row>
    <row r="13" spans="1:22">
      <c r="A13" s="563">
        <v>7</v>
      </c>
      <c r="B13" s="562" t="s">
        <v>696</v>
      </c>
      <c r="C13" s="788">
        <v>6928012.0847860007</v>
      </c>
      <c r="D13" s="788">
        <v>6622422.6919860011</v>
      </c>
      <c r="E13" s="788">
        <v>0</v>
      </c>
      <c r="F13" s="788">
        <v>305589.39279999991</v>
      </c>
      <c r="G13" s="788"/>
      <c r="H13" s="788">
        <v>7064224.6915859971</v>
      </c>
      <c r="I13" s="788">
        <v>6708697.8309859969</v>
      </c>
      <c r="J13" s="788">
        <v>0</v>
      </c>
      <c r="K13" s="788">
        <v>355526.86059999996</v>
      </c>
      <c r="L13" s="788"/>
      <c r="M13" s="788">
        <v>148264.33645476209</v>
      </c>
      <c r="N13" s="788">
        <v>11160.731426190701</v>
      </c>
      <c r="O13" s="788">
        <v>0</v>
      </c>
      <c r="P13" s="788">
        <v>137103.60502857139</v>
      </c>
      <c r="Q13" s="788"/>
      <c r="R13" s="788">
        <v>120</v>
      </c>
      <c r="S13" s="788">
        <v>0</v>
      </c>
      <c r="T13" s="788">
        <v>0</v>
      </c>
      <c r="U13" s="788">
        <v>6.9184266588184676E-2</v>
      </c>
      <c r="V13" s="788">
        <v>111.89813179373638</v>
      </c>
    </row>
    <row r="14" spans="1:22">
      <c r="A14" s="557">
        <v>7.1</v>
      </c>
      <c r="B14" s="556" t="s">
        <v>697</v>
      </c>
      <c r="C14" s="788">
        <v>6864330.0988660008</v>
      </c>
      <c r="D14" s="788">
        <v>6558740.7060660012</v>
      </c>
      <c r="E14" s="788">
        <v>0</v>
      </c>
      <c r="F14" s="788">
        <v>305589.39279999991</v>
      </c>
      <c r="G14" s="788"/>
      <c r="H14" s="788">
        <v>6999589.6570659969</v>
      </c>
      <c r="I14" s="788">
        <v>6644062.7964659967</v>
      </c>
      <c r="J14" s="788">
        <v>0</v>
      </c>
      <c r="K14" s="788">
        <v>355526.86059999996</v>
      </c>
      <c r="L14" s="788"/>
      <c r="M14" s="788">
        <v>148162.49247659338</v>
      </c>
      <c r="N14" s="788">
        <v>11058.887448022002</v>
      </c>
      <c r="O14" s="788">
        <v>0</v>
      </c>
      <c r="P14" s="788">
        <v>137103.60502857139</v>
      </c>
      <c r="Q14" s="788"/>
      <c r="R14" s="788">
        <v>119</v>
      </c>
      <c r="S14" s="788">
        <v>0</v>
      </c>
      <c r="T14" s="788">
        <v>0</v>
      </c>
      <c r="U14" s="788">
        <v>6.9389347677013269E-2</v>
      </c>
      <c r="V14" s="788">
        <v>111.85636382316466</v>
      </c>
    </row>
    <row r="15" spans="1:22" ht="25.5">
      <c r="A15" s="557">
        <v>7.2</v>
      </c>
      <c r="B15" s="556" t="s">
        <v>698</v>
      </c>
      <c r="C15" s="788">
        <v>63681.985920000006</v>
      </c>
      <c r="D15" s="788">
        <v>63681.985920000006</v>
      </c>
      <c r="E15" s="788">
        <v>0</v>
      </c>
      <c r="F15" s="788">
        <v>0</v>
      </c>
      <c r="G15" s="788"/>
      <c r="H15" s="788">
        <v>64635.034520000008</v>
      </c>
      <c r="I15" s="788">
        <v>64635.034520000008</v>
      </c>
      <c r="J15" s="788">
        <v>0</v>
      </c>
      <c r="K15" s="788">
        <v>0</v>
      </c>
      <c r="L15" s="788"/>
      <c r="M15" s="788">
        <v>101.8439781687</v>
      </c>
      <c r="N15" s="788">
        <v>101.8439781687</v>
      </c>
      <c r="O15" s="788">
        <v>0</v>
      </c>
      <c r="P15" s="788">
        <v>0</v>
      </c>
      <c r="Q15" s="788"/>
      <c r="R15" s="788">
        <v>1</v>
      </c>
      <c r="S15" s="788" t="s">
        <v>986</v>
      </c>
      <c r="T15" s="788" t="s">
        <v>986</v>
      </c>
      <c r="U15" s="788">
        <v>4.7078418750418259E-2</v>
      </c>
      <c r="V15" s="788">
        <v>116.40033337275391</v>
      </c>
    </row>
    <row r="16" spans="1:22">
      <c r="A16" s="557">
        <v>7.3</v>
      </c>
      <c r="B16" s="556" t="s">
        <v>699</v>
      </c>
      <c r="C16" s="788"/>
      <c r="D16" s="788"/>
      <c r="E16" s="788"/>
      <c r="F16" s="788"/>
      <c r="G16" s="788"/>
      <c r="H16" s="788"/>
      <c r="I16" s="788"/>
      <c r="J16" s="788"/>
      <c r="K16" s="788"/>
      <c r="L16" s="788"/>
      <c r="M16" s="788"/>
      <c r="N16" s="788"/>
      <c r="O16" s="788"/>
      <c r="P16" s="788"/>
      <c r="Q16" s="788"/>
      <c r="R16" s="788"/>
      <c r="S16" s="788" t="s">
        <v>986</v>
      </c>
      <c r="T16" s="788" t="s">
        <v>986</v>
      </c>
      <c r="U16" s="788"/>
      <c r="V16" s="788"/>
    </row>
    <row r="17" spans="1:22">
      <c r="A17" s="563">
        <v>8</v>
      </c>
      <c r="B17" s="562" t="s">
        <v>700</v>
      </c>
      <c r="C17" s="788">
        <v>0</v>
      </c>
      <c r="D17" s="788">
        <v>0</v>
      </c>
      <c r="E17" s="788">
        <v>0</v>
      </c>
      <c r="F17" s="788">
        <v>0</v>
      </c>
      <c r="G17" s="788"/>
      <c r="H17" s="788">
        <v>0</v>
      </c>
      <c r="I17" s="788">
        <v>0</v>
      </c>
      <c r="J17" s="788">
        <v>0</v>
      </c>
      <c r="K17" s="788">
        <v>0</v>
      </c>
      <c r="L17" s="788"/>
      <c r="M17" s="788">
        <v>0</v>
      </c>
      <c r="N17" s="788">
        <v>0</v>
      </c>
      <c r="O17" s="788">
        <v>0</v>
      </c>
      <c r="P17" s="788">
        <v>0</v>
      </c>
      <c r="Q17" s="788"/>
      <c r="R17" s="788">
        <v>0</v>
      </c>
      <c r="S17" s="788">
        <v>0</v>
      </c>
      <c r="T17" s="788">
        <v>0</v>
      </c>
      <c r="U17" s="788">
        <v>0</v>
      </c>
      <c r="V17" s="788">
        <v>0</v>
      </c>
    </row>
    <row r="18" spans="1:22">
      <c r="A18" s="561">
        <v>9</v>
      </c>
      <c r="B18" s="560" t="s">
        <v>701</v>
      </c>
      <c r="C18" s="789">
        <v>0</v>
      </c>
      <c r="D18" s="789">
        <v>0</v>
      </c>
      <c r="E18" s="789">
        <v>0</v>
      </c>
      <c r="F18" s="789">
        <v>0</v>
      </c>
      <c r="G18" s="789"/>
      <c r="H18" s="789">
        <v>0</v>
      </c>
      <c r="I18" s="789">
        <v>0</v>
      </c>
      <c r="J18" s="789">
        <v>0</v>
      </c>
      <c r="K18" s="789">
        <v>0</v>
      </c>
      <c r="L18" s="789"/>
      <c r="M18" s="789">
        <v>0</v>
      </c>
      <c r="N18" s="789">
        <v>0</v>
      </c>
      <c r="O18" s="789">
        <v>0</v>
      </c>
      <c r="P18" s="789">
        <v>0</v>
      </c>
      <c r="Q18" s="789"/>
      <c r="R18" s="789">
        <v>0</v>
      </c>
      <c r="S18" s="789">
        <v>0</v>
      </c>
      <c r="T18" s="789">
        <v>0</v>
      </c>
      <c r="U18" s="789">
        <v>0</v>
      </c>
      <c r="V18" s="789">
        <v>0</v>
      </c>
    </row>
    <row r="19" spans="1:22">
      <c r="A19" s="559">
        <v>10</v>
      </c>
      <c r="B19" s="558" t="s">
        <v>717</v>
      </c>
      <c r="C19" s="788">
        <v>8211505.5156260002</v>
      </c>
      <c r="D19" s="788">
        <v>7699956.9628260005</v>
      </c>
      <c r="E19" s="788">
        <v>4925.07</v>
      </c>
      <c r="F19" s="788">
        <v>506623.48279999988</v>
      </c>
      <c r="G19" s="788">
        <v>0</v>
      </c>
      <c r="H19" s="788">
        <v>8433284.5334259979</v>
      </c>
      <c r="I19" s="788">
        <v>7800338.122825997</v>
      </c>
      <c r="J19" s="788">
        <v>5065.8499999999995</v>
      </c>
      <c r="K19" s="788">
        <v>627880.56059999997</v>
      </c>
      <c r="L19" s="788">
        <v>0</v>
      </c>
      <c r="M19" s="788">
        <v>397071.42013972509</v>
      </c>
      <c r="N19" s="788">
        <v>18695.3427841597</v>
      </c>
      <c r="O19" s="788">
        <v>1171.3307477812</v>
      </c>
      <c r="P19" s="788">
        <v>377204.74660778418</v>
      </c>
      <c r="Q19" s="788">
        <v>0</v>
      </c>
      <c r="R19" s="788">
        <v>193</v>
      </c>
      <c r="S19" s="788">
        <v>0.15</v>
      </c>
      <c r="T19" s="788">
        <v>0.16070399999999999</v>
      </c>
      <c r="U19" s="788">
        <v>7.1945039174093756E-2</v>
      </c>
      <c r="V19" s="788">
        <v>109.3155980638096</v>
      </c>
    </row>
    <row r="20" spans="1:22" ht="25.5">
      <c r="A20" s="557">
        <v>10.1</v>
      </c>
      <c r="B20" s="556" t="s">
        <v>720</v>
      </c>
      <c r="C20" s="551"/>
      <c r="D20" s="551"/>
      <c r="E20" s="551"/>
      <c r="F20" s="551"/>
      <c r="G20" s="551"/>
      <c r="H20" s="551"/>
      <c r="I20" s="551"/>
      <c r="J20" s="551"/>
      <c r="K20" s="551"/>
      <c r="L20" s="551"/>
      <c r="M20" s="551"/>
      <c r="N20" s="551"/>
      <c r="O20" s="551"/>
      <c r="P20" s="551"/>
      <c r="Q20" s="551"/>
      <c r="R20" s="551"/>
      <c r="S20" s="551"/>
      <c r="T20" s="551"/>
      <c r="U20" s="551"/>
      <c r="V20" s="551"/>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2"/>
  <sheetViews>
    <sheetView zoomScale="70" zoomScaleNormal="70" workbookViewId="0"/>
  </sheetViews>
  <sheetFormatPr defaultRowHeight="15"/>
  <cols>
    <col min="1" max="1" width="8.7109375" style="455"/>
    <col min="2" max="2" width="69.28515625" style="430" customWidth="1"/>
    <col min="3" max="3" width="13.7109375" customWidth="1"/>
    <col min="4" max="4" width="14.42578125" customWidth="1"/>
    <col min="5" max="5" width="14.85546875" bestFit="1" customWidth="1"/>
    <col min="6" max="7" width="13.28515625" customWidth="1"/>
    <col min="8" max="8" width="14.85546875" bestFit="1" customWidth="1"/>
  </cols>
  <sheetData>
    <row r="1" spans="1:8" ht="15.75">
      <c r="A1" s="17" t="s">
        <v>108</v>
      </c>
      <c r="B1" s="306" t="str">
        <f>Info!C2</f>
        <v>JSC "VTB Bank (Georgia)"</v>
      </c>
      <c r="C1" s="16"/>
      <c r="D1" s="227"/>
      <c r="E1" s="227"/>
      <c r="F1" s="227"/>
      <c r="G1" s="227"/>
    </row>
    <row r="2" spans="1:8" ht="15.75">
      <c r="A2" s="17" t="s">
        <v>109</v>
      </c>
      <c r="B2" s="337">
        <f>Info!D2</f>
        <v>45565</v>
      </c>
      <c r="C2" s="29"/>
      <c r="D2" s="18"/>
      <c r="E2" s="18"/>
      <c r="F2" s="18"/>
      <c r="G2" s="18"/>
      <c r="H2" s="1"/>
    </row>
    <row r="3" spans="1:8" ht="15.75">
      <c r="A3" s="17"/>
      <c r="B3" s="16"/>
      <c r="C3" s="29"/>
      <c r="D3" s="18"/>
      <c r="E3" s="18"/>
      <c r="F3" s="18"/>
      <c r="G3" s="18"/>
      <c r="H3" s="1"/>
    </row>
    <row r="4" spans="1:8" ht="21" customHeight="1">
      <c r="A4" s="813" t="s">
        <v>25</v>
      </c>
      <c r="B4" s="814" t="s">
        <v>729</v>
      </c>
      <c r="C4" s="816" t="s">
        <v>114</v>
      </c>
      <c r="D4" s="816"/>
      <c r="E4" s="816"/>
      <c r="F4" s="816" t="s">
        <v>115</v>
      </c>
      <c r="G4" s="816"/>
      <c r="H4" s="817"/>
    </row>
    <row r="5" spans="1:8" ht="21" customHeight="1">
      <c r="A5" s="813"/>
      <c r="B5" s="815"/>
      <c r="C5" s="401" t="s">
        <v>26</v>
      </c>
      <c r="D5" s="401" t="s">
        <v>88</v>
      </c>
      <c r="E5" s="401" t="s">
        <v>66</v>
      </c>
      <c r="F5" s="401" t="s">
        <v>26</v>
      </c>
      <c r="G5" s="401" t="s">
        <v>88</v>
      </c>
      <c r="H5" s="401" t="s">
        <v>66</v>
      </c>
    </row>
    <row r="6" spans="1:8" ht="26.85" customHeight="1">
      <c r="A6" s="813"/>
      <c r="B6" s="402" t="s">
        <v>95</v>
      </c>
      <c r="C6" s="818"/>
      <c r="D6" s="819"/>
      <c r="E6" s="819"/>
      <c r="F6" s="819"/>
      <c r="G6" s="819"/>
      <c r="H6" s="820"/>
    </row>
    <row r="7" spans="1:8" ht="23.1" customHeight="1">
      <c r="A7" s="446">
        <v>1</v>
      </c>
      <c r="B7" s="403" t="s">
        <v>843</v>
      </c>
      <c r="C7" s="696">
        <v>92468536.5</v>
      </c>
      <c r="D7" s="696">
        <v>81467656.335099995</v>
      </c>
      <c r="E7" s="675">
        <f>C7+D7</f>
        <v>173936192.8351</v>
      </c>
      <c r="F7" s="696">
        <v>81187562.994400859</v>
      </c>
      <c r="G7" s="696">
        <v>65150132.066468552</v>
      </c>
      <c r="H7" s="675">
        <f>F7+G7</f>
        <v>146337695.0608694</v>
      </c>
    </row>
    <row r="8" spans="1:8">
      <c r="A8" s="446">
        <v>1.1000000000000001</v>
      </c>
      <c r="B8" s="404" t="s">
        <v>96</v>
      </c>
      <c r="C8" s="696">
        <v>92468185.140000001</v>
      </c>
      <c r="D8" s="696">
        <v>74438750.0792</v>
      </c>
      <c r="E8" s="675">
        <f t="shared" ref="E8:E36" si="0">C8+D8</f>
        <v>166906935.21920002</v>
      </c>
      <c r="F8" s="696">
        <v>81187562.994400859</v>
      </c>
      <c r="G8" s="696">
        <v>65036169.066468552</v>
      </c>
      <c r="H8" s="675">
        <f t="shared" ref="H8:H36" si="1">F8+G8</f>
        <v>146223732.0608694</v>
      </c>
    </row>
    <row r="9" spans="1:8">
      <c r="A9" s="446">
        <v>1.2</v>
      </c>
      <c r="B9" s="404" t="s">
        <v>97</v>
      </c>
      <c r="C9" s="696">
        <v>351.36</v>
      </c>
      <c r="D9" s="696">
        <v>0</v>
      </c>
      <c r="E9" s="675">
        <f t="shared" si="0"/>
        <v>351.36</v>
      </c>
      <c r="F9" s="696">
        <v>0</v>
      </c>
      <c r="G9" s="696">
        <v>0</v>
      </c>
      <c r="H9" s="675">
        <f t="shared" si="1"/>
        <v>0</v>
      </c>
    </row>
    <row r="10" spans="1:8">
      <c r="A10" s="446">
        <v>1.3</v>
      </c>
      <c r="B10" s="404" t="s">
        <v>98</v>
      </c>
      <c r="C10" s="696">
        <v>0</v>
      </c>
      <c r="D10" s="696">
        <v>7028906.2559000002</v>
      </c>
      <c r="E10" s="675">
        <f t="shared" si="0"/>
        <v>7028906.2559000002</v>
      </c>
      <c r="F10" s="696">
        <v>0</v>
      </c>
      <c r="G10" s="696">
        <v>113963</v>
      </c>
      <c r="H10" s="675">
        <f t="shared" si="1"/>
        <v>113963</v>
      </c>
    </row>
    <row r="11" spans="1:8">
      <c r="A11" s="446">
        <v>2</v>
      </c>
      <c r="B11" s="405" t="s">
        <v>730</v>
      </c>
      <c r="C11" s="696"/>
      <c r="D11" s="696"/>
      <c r="E11" s="675">
        <f t="shared" si="0"/>
        <v>0</v>
      </c>
      <c r="F11" s="696"/>
      <c r="G11" s="696"/>
      <c r="H11" s="675">
        <f t="shared" si="1"/>
        <v>0</v>
      </c>
    </row>
    <row r="12" spans="1:8">
      <c r="A12" s="446">
        <v>2.1</v>
      </c>
      <c r="B12" s="406" t="s">
        <v>731</v>
      </c>
      <c r="C12" s="696"/>
      <c r="D12" s="696"/>
      <c r="E12" s="675">
        <f t="shared" si="0"/>
        <v>0</v>
      </c>
      <c r="F12" s="696"/>
      <c r="G12" s="696"/>
      <c r="H12" s="675">
        <f t="shared" si="1"/>
        <v>0</v>
      </c>
    </row>
    <row r="13" spans="1:8" ht="26.85" customHeight="1">
      <c r="A13" s="446">
        <v>3</v>
      </c>
      <c r="B13" s="407" t="s">
        <v>732</v>
      </c>
      <c r="C13" s="696"/>
      <c r="D13" s="696"/>
      <c r="E13" s="675">
        <f t="shared" si="0"/>
        <v>0</v>
      </c>
      <c r="F13" s="696"/>
      <c r="G13" s="696"/>
      <c r="H13" s="675">
        <f t="shared" si="1"/>
        <v>0</v>
      </c>
    </row>
    <row r="14" spans="1:8" ht="26.85" customHeight="1">
      <c r="A14" s="446">
        <v>4</v>
      </c>
      <c r="B14" s="408" t="s">
        <v>733</v>
      </c>
      <c r="C14" s="696"/>
      <c r="D14" s="696"/>
      <c r="E14" s="675">
        <f t="shared" si="0"/>
        <v>0</v>
      </c>
      <c r="F14" s="696"/>
      <c r="G14" s="696"/>
      <c r="H14" s="675">
        <f t="shared" si="1"/>
        <v>0</v>
      </c>
    </row>
    <row r="15" spans="1:8" ht="24.6" customHeight="1">
      <c r="A15" s="446">
        <v>5</v>
      </c>
      <c r="B15" s="408" t="s">
        <v>734</v>
      </c>
      <c r="C15" s="674">
        <v>0</v>
      </c>
      <c r="D15" s="674">
        <v>0</v>
      </c>
      <c r="E15" s="673">
        <f t="shared" si="0"/>
        <v>0</v>
      </c>
      <c r="F15" s="674">
        <v>0</v>
      </c>
      <c r="G15" s="674">
        <v>0</v>
      </c>
      <c r="H15" s="673">
        <f t="shared" si="1"/>
        <v>0</v>
      </c>
    </row>
    <row r="16" spans="1:8">
      <c r="A16" s="446">
        <v>5.0999999999999996</v>
      </c>
      <c r="B16" s="409" t="s">
        <v>735</v>
      </c>
      <c r="C16" s="696">
        <v>0</v>
      </c>
      <c r="D16" s="696">
        <v>0</v>
      </c>
      <c r="E16" s="675">
        <f t="shared" si="0"/>
        <v>0</v>
      </c>
      <c r="F16" s="696">
        <v>0</v>
      </c>
      <c r="G16" s="696">
        <v>0</v>
      </c>
      <c r="H16" s="675">
        <f t="shared" si="1"/>
        <v>0</v>
      </c>
    </row>
    <row r="17" spans="1:8">
      <c r="A17" s="446">
        <v>5.2</v>
      </c>
      <c r="B17" s="409" t="s">
        <v>569</v>
      </c>
      <c r="C17" s="696"/>
      <c r="D17" s="696"/>
      <c r="E17" s="675">
        <f t="shared" si="0"/>
        <v>0</v>
      </c>
      <c r="F17" s="696"/>
      <c r="G17" s="696"/>
      <c r="H17" s="675">
        <f t="shared" si="1"/>
        <v>0</v>
      </c>
    </row>
    <row r="18" spans="1:8">
      <c r="A18" s="446">
        <v>5.3</v>
      </c>
      <c r="B18" s="409" t="s">
        <v>736</v>
      </c>
      <c r="C18" s="696"/>
      <c r="D18" s="696"/>
      <c r="E18" s="675">
        <f t="shared" si="0"/>
        <v>0</v>
      </c>
      <c r="F18" s="696"/>
      <c r="G18" s="696"/>
      <c r="H18" s="675">
        <f t="shared" si="1"/>
        <v>0</v>
      </c>
    </row>
    <row r="19" spans="1:8">
      <c r="A19" s="446">
        <v>6</v>
      </c>
      <c r="B19" s="407" t="s">
        <v>737</v>
      </c>
      <c r="C19" s="696">
        <v>66960099.610203683</v>
      </c>
      <c r="D19" s="696">
        <v>113353574.84610026</v>
      </c>
      <c r="E19" s="675">
        <f t="shared" si="0"/>
        <v>180313674.45630395</v>
      </c>
      <c r="F19" s="696">
        <v>88408029.754603088</v>
      </c>
      <c r="G19" s="696">
        <v>120264743.29666176</v>
      </c>
      <c r="H19" s="675">
        <f t="shared" si="1"/>
        <v>208672773.05126485</v>
      </c>
    </row>
    <row r="20" spans="1:8">
      <c r="A20" s="446">
        <v>6.1</v>
      </c>
      <c r="B20" s="409" t="s">
        <v>569</v>
      </c>
      <c r="C20" s="696"/>
      <c r="D20" s="696"/>
      <c r="E20" s="675">
        <f t="shared" si="0"/>
        <v>0</v>
      </c>
      <c r="F20" s="696"/>
      <c r="G20" s="696"/>
      <c r="H20" s="675">
        <f t="shared" si="1"/>
        <v>0</v>
      </c>
    </row>
    <row r="21" spans="1:8">
      <c r="A21" s="446">
        <v>6.2</v>
      </c>
      <c r="B21" s="409" t="s">
        <v>736</v>
      </c>
      <c r="C21" s="696">
        <v>66960099.610203683</v>
      </c>
      <c r="D21" s="696">
        <v>113353574.84610026</v>
      </c>
      <c r="E21" s="675">
        <f t="shared" si="0"/>
        <v>180313674.45630395</v>
      </c>
      <c r="F21" s="696">
        <v>88408029.754603088</v>
      </c>
      <c r="G21" s="696">
        <v>120264743.29666176</v>
      </c>
      <c r="H21" s="675">
        <f t="shared" si="1"/>
        <v>208672773.05126485</v>
      </c>
    </row>
    <row r="22" spans="1:8">
      <c r="A22" s="446">
        <v>7</v>
      </c>
      <c r="B22" s="410" t="s">
        <v>738</v>
      </c>
      <c r="C22" s="696">
        <v>54000</v>
      </c>
      <c r="D22" s="696"/>
      <c r="E22" s="675">
        <f t="shared" si="0"/>
        <v>54000</v>
      </c>
      <c r="F22" s="696">
        <v>54000</v>
      </c>
      <c r="G22" s="696"/>
      <c r="H22" s="675">
        <f t="shared" si="1"/>
        <v>54000</v>
      </c>
    </row>
    <row r="23" spans="1:8" ht="21">
      <c r="A23" s="446">
        <v>8</v>
      </c>
      <c r="B23" s="411" t="s">
        <v>739</v>
      </c>
      <c r="C23" s="696"/>
      <c r="D23" s="696"/>
      <c r="E23" s="675">
        <f t="shared" si="0"/>
        <v>0</v>
      </c>
      <c r="F23" s="696"/>
      <c r="G23" s="696"/>
      <c r="H23" s="675">
        <f t="shared" si="1"/>
        <v>0</v>
      </c>
    </row>
    <row r="24" spans="1:8">
      <c r="A24" s="446">
        <v>9</v>
      </c>
      <c r="B24" s="408" t="s">
        <v>740</v>
      </c>
      <c r="C24" s="696">
        <v>61688377.610000014</v>
      </c>
      <c r="D24" s="696">
        <v>0</v>
      </c>
      <c r="E24" s="675">
        <f t="shared" si="0"/>
        <v>61688377.610000014</v>
      </c>
      <c r="F24" s="696">
        <v>63546841</v>
      </c>
      <c r="G24" s="696">
        <v>0</v>
      </c>
      <c r="H24" s="675">
        <f t="shared" si="1"/>
        <v>63546841</v>
      </c>
    </row>
    <row r="25" spans="1:8">
      <c r="A25" s="446">
        <v>9.1</v>
      </c>
      <c r="B25" s="412" t="s">
        <v>741</v>
      </c>
      <c r="C25" s="696">
        <v>33613388.479999997</v>
      </c>
      <c r="D25" s="696"/>
      <c r="E25" s="675">
        <f t="shared" si="0"/>
        <v>33613388.479999997</v>
      </c>
      <c r="F25" s="696">
        <v>34889251</v>
      </c>
      <c r="G25" s="696"/>
      <c r="H25" s="675">
        <f t="shared" si="1"/>
        <v>34889251</v>
      </c>
    </row>
    <row r="26" spans="1:8">
      <c r="A26" s="446">
        <v>9.1999999999999993</v>
      </c>
      <c r="B26" s="412" t="s">
        <v>742</v>
      </c>
      <c r="C26" s="696">
        <v>28074989.130000018</v>
      </c>
      <c r="D26" s="696"/>
      <c r="E26" s="675">
        <f t="shared" si="0"/>
        <v>28074989.130000018</v>
      </c>
      <c r="F26" s="696">
        <v>28657590</v>
      </c>
      <c r="G26" s="696"/>
      <c r="H26" s="675">
        <f t="shared" si="1"/>
        <v>28657590</v>
      </c>
    </row>
    <row r="27" spans="1:8">
      <c r="A27" s="446">
        <v>10</v>
      </c>
      <c r="B27" s="408" t="s">
        <v>36</v>
      </c>
      <c r="C27" s="696">
        <v>1067767.3400000001</v>
      </c>
      <c r="D27" s="696">
        <v>0</v>
      </c>
      <c r="E27" s="675">
        <f t="shared" si="0"/>
        <v>1067767.3400000001</v>
      </c>
      <c r="F27" s="696">
        <v>1280877</v>
      </c>
      <c r="G27" s="696">
        <v>0</v>
      </c>
      <c r="H27" s="675">
        <f t="shared" si="1"/>
        <v>1280877</v>
      </c>
    </row>
    <row r="28" spans="1:8">
      <c r="A28" s="446">
        <v>10.1</v>
      </c>
      <c r="B28" s="412" t="s">
        <v>743</v>
      </c>
      <c r="C28" s="696"/>
      <c r="D28" s="696"/>
      <c r="E28" s="675">
        <f t="shared" si="0"/>
        <v>0</v>
      </c>
      <c r="F28" s="696"/>
      <c r="G28" s="696"/>
      <c r="H28" s="675">
        <f t="shared" si="1"/>
        <v>0</v>
      </c>
    </row>
    <row r="29" spans="1:8">
      <c r="A29" s="446">
        <v>10.199999999999999</v>
      </c>
      <c r="B29" s="412" t="s">
        <v>744</v>
      </c>
      <c r="C29" s="696">
        <v>1067767.3400000001</v>
      </c>
      <c r="D29" s="696"/>
      <c r="E29" s="675">
        <f t="shared" si="0"/>
        <v>1067767.3400000001</v>
      </c>
      <c r="F29" s="696">
        <v>1280877</v>
      </c>
      <c r="G29" s="696"/>
      <c r="H29" s="675">
        <f t="shared" si="1"/>
        <v>1280877</v>
      </c>
    </row>
    <row r="30" spans="1:8">
      <c r="A30" s="446">
        <v>11</v>
      </c>
      <c r="B30" s="408" t="s">
        <v>745</v>
      </c>
      <c r="C30" s="696">
        <v>958167.91</v>
      </c>
      <c r="D30" s="696">
        <v>0</v>
      </c>
      <c r="E30" s="675">
        <f t="shared" si="0"/>
        <v>958167.91</v>
      </c>
      <c r="F30" s="696">
        <v>0</v>
      </c>
      <c r="G30" s="696">
        <v>0</v>
      </c>
      <c r="H30" s="675">
        <f t="shared" si="1"/>
        <v>0</v>
      </c>
    </row>
    <row r="31" spans="1:8">
      <c r="A31" s="446">
        <v>11.1</v>
      </c>
      <c r="B31" s="412" t="s">
        <v>746</v>
      </c>
      <c r="C31" s="696">
        <v>958167.91</v>
      </c>
      <c r="D31" s="696"/>
      <c r="E31" s="675">
        <f t="shared" si="0"/>
        <v>958167.91</v>
      </c>
      <c r="F31" s="696">
        <v>0</v>
      </c>
      <c r="G31" s="696"/>
      <c r="H31" s="675">
        <f t="shared" si="1"/>
        <v>0</v>
      </c>
    </row>
    <row r="32" spans="1:8">
      <c r="A32" s="446">
        <v>11.2</v>
      </c>
      <c r="B32" s="412" t="s">
        <v>747</v>
      </c>
      <c r="C32" s="696">
        <v>0</v>
      </c>
      <c r="D32" s="696"/>
      <c r="E32" s="675">
        <f t="shared" si="0"/>
        <v>0</v>
      </c>
      <c r="F32" s="696">
        <v>0</v>
      </c>
      <c r="G32" s="696"/>
      <c r="H32" s="675">
        <f t="shared" si="1"/>
        <v>0</v>
      </c>
    </row>
    <row r="33" spans="1:8">
      <c r="A33" s="446">
        <v>13</v>
      </c>
      <c r="B33" s="408" t="s">
        <v>99</v>
      </c>
      <c r="C33" s="696">
        <v>36862975.710000001</v>
      </c>
      <c r="D33" s="696">
        <v>3400971.7660000138</v>
      </c>
      <c r="E33" s="675">
        <f t="shared" si="0"/>
        <v>40263947.476000011</v>
      </c>
      <c r="F33" s="696">
        <v>36563089.947011136</v>
      </c>
      <c r="G33" s="696">
        <v>3234057.8251821036</v>
      </c>
      <c r="H33" s="675">
        <f t="shared" si="1"/>
        <v>39797147.772193238</v>
      </c>
    </row>
    <row r="34" spans="1:8">
      <c r="A34" s="446">
        <v>13.1</v>
      </c>
      <c r="B34" s="413" t="s">
        <v>748</v>
      </c>
      <c r="C34" s="696">
        <v>22019563</v>
      </c>
      <c r="D34" s="696"/>
      <c r="E34" s="675">
        <f t="shared" si="0"/>
        <v>22019563</v>
      </c>
      <c r="F34" s="696">
        <v>28657590</v>
      </c>
      <c r="G34" s="696"/>
      <c r="H34" s="675">
        <f t="shared" si="1"/>
        <v>28657590</v>
      </c>
    </row>
    <row r="35" spans="1:8">
      <c r="A35" s="446">
        <v>13.2</v>
      </c>
      <c r="B35" s="413" t="s">
        <v>749</v>
      </c>
      <c r="C35" s="696"/>
      <c r="D35" s="696"/>
      <c r="E35" s="675">
        <f t="shared" si="0"/>
        <v>0</v>
      </c>
      <c r="F35" s="696"/>
      <c r="G35" s="696"/>
      <c r="H35" s="675">
        <f t="shared" si="1"/>
        <v>0</v>
      </c>
    </row>
    <row r="36" spans="1:8">
      <c r="A36" s="446">
        <v>14</v>
      </c>
      <c r="B36" s="414" t="s">
        <v>750</v>
      </c>
      <c r="C36" s="696">
        <v>260059924.68020371</v>
      </c>
      <c r="D36" s="696">
        <v>198222202.94720027</v>
      </c>
      <c r="E36" s="675">
        <f t="shared" si="0"/>
        <v>458282127.62740397</v>
      </c>
      <c r="F36" s="696">
        <v>271040400.69601506</v>
      </c>
      <c r="G36" s="696">
        <v>188648933.18831244</v>
      </c>
      <c r="H36" s="675">
        <f t="shared" si="1"/>
        <v>459689333.88432753</v>
      </c>
    </row>
    <row r="37" spans="1:8" ht="22.5" customHeight="1">
      <c r="A37" s="446"/>
      <c r="B37" s="415" t="s">
        <v>104</v>
      </c>
      <c r="C37" s="810"/>
      <c r="D37" s="811"/>
      <c r="E37" s="811"/>
      <c r="F37" s="811"/>
      <c r="G37" s="811"/>
      <c r="H37" s="812"/>
    </row>
    <row r="38" spans="1:8">
      <c r="A38" s="446">
        <v>15</v>
      </c>
      <c r="B38" s="416" t="s">
        <v>751</v>
      </c>
      <c r="C38" s="696"/>
      <c r="D38" s="696"/>
      <c r="E38" s="675">
        <f>C38+D38</f>
        <v>0</v>
      </c>
      <c r="F38" s="696"/>
      <c r="G38" s="696"/>
      <c r="H38" s="675">
        <f>F38+G38</f>
        <v>0</v>
      </c>
    </row>
    <row r="39" spans="1:8">
      <c r="A39" s="446">
        <v>15.1</v>
      </c>
      <c r="B39" s="417" t="s">
        <v>731</v>
      </c>
      <c r="C39" s="696"/>
      <c r="D39" s="696"/>
      <c r="E39" s="675">
        <f t="shared" ref="E39:E53" si="2">C39+D39</f>
        <v>0</v>
      </c>
      <c r="F39" s="696"/>
      <c r="G39" s="696"/>
      <c r="H39" s="675">
        <f t="shared" ref="H39:H53" si="3">F39+G39</f>
        <v>0</v>
      </c>
    </row>
    <row r="40" spans="1:8" ht="24" customHeight="1">
      <c r="A40" s="446">
        <v>16</v>
      </c>
      <c r="B40" s="410" t="s">
        <v>752</v>
      </c>
      <c r="C40" s="696">
        <v>678.99</v>
      </c>
      <c r="D40" s="696">
        <v>289910.48629999999</v>
      </c>
      <c r="E40" s="675">
        <f t="shared" si="2"/>
        <v>290589.47629999998</v>
      </c>
      <c r="F40" s="696">
        <v>679</v>
      </c>
      <c r="G40" s="696">
        <v>280827</v>
      </c>
      <c r="H40" s="675">
        <f t="shared" si="3"/>
        <v>281506</v>
      </c>
    </row>
    <row r="41" spans="1:8" ht="21">
      <c r="A41" s="446">
        <v>17</v>
      </c>
      <c r="B41" s="410" t="s">
        <v>753</v>
      </c>
      <c r="C41" s="696">
        <v>13074552.050000001</v>
      </c>
      <c r="D41" s="696">
        <v>1174691.1000000001</v>
      </c>
      <c r="E41" s="675">
        <f t="shared" si="2"/>
        <v>14249243.15</v>
      </c>
      <c r="F41" s="696">
        <v>18341286</v>
      </c>
      <c r="G41" s="696">
        <v>1065724</v>
      </c>
      <c r="H41" s="675">
        <f t="shared" si="3"/>
        <v>19407010</v>
      </c>
    </row>
    <row r="42" spans="1:8">
      <c r="A42" s="446">
        <v>17.100000000000001</v>
      </c>
      <c r="B42" s="418" t="s">
        <v>754</v>
      </c>
      <c r="C42" s="696">
        <v>13074552.050000001</v>
      </c>
      <c r="D42" s="696">
        <v>1174691.1000000001</v>
      </c>
      <c r="E42" s="675">
        <f t="shared" si="2"/>
        <v>14249243.15</v>
      </c>
      <c r="F42" s="696">
        <v>18341286</v>
      </c>
      <c r="G42" s="696">
        <v>1065724</v>
      </c>
      <c r="H42" s="675">
        <f t="shared" si="3"/>
        <v>19407010</v>
      </c>
    </row>
    <row r="43" spans="1:8">
      <c r="A43" s="446">
        <v>17.2</v>
      </c>
      <c r="B43" s="419" t="s">
        <v>100</v>
      </c>
      <c r="C43" s="696"/>
      <c r="D43" s="696"/>
      <c r="E43" s="675">
        <f t="shared" si="2"/>
        <v>0</v>
      </c>
      <c r="F43" s="696">
        <v>0</v>
      </c>
      <c r="G43" s="696">
        <v>0</v>
      </c>
      <c r="H43" s="675">
        <f t="shared" si="3"/>
        <v>0</v>
      </c>
    </row>
    <row r="44" spans="1:8">
      <c r="A44" s="446">
        <v>17.3</v>
      </c>
      <c r="B44" s="418" t="s">
        <v>755</v>
      </c>
      <c r="C44" s="696"/>
      <c r="D44" s="696"/>
      <c r="E44" s="675">
        <f t="shared" si="2"/>
        <v>0</v>
      </c>
      <c r="F44" s="696"/>
      <c r="G44" s="696"/>
      <c r="H44" s="675">
        <f t="shared" si="3"/>
        <v>0</v>
      </c>
    </row>
    <row r="45" spans="1:8">
      <c r="A45" s="446">
        <v>17.399999999999999</v>
      </c>
      <c r="B45" s="418" t="s">
        <v>756</v>
      </c>
      <c r="C45" s="696"/>
      <c r="D45" s="696"/>
      <c r="E45" s="675">
        <f t="shared" si="2"/>
        <v>0</v>
      </c>
      <c r="F45" s="696"/>
      <c r="G45" s="696"/>
      <c r="H45" s="675">
        <f t="shared" si="3"/>
        <v>0</v>
      </c>
    </row>
    <row r="46" spans="1:8">
      <c r="A46" s="446">
        <v>18</v>
      </c>
      <c r="B46" s="420" t="s">
        <v>757</v>
      </c>
      <c r="C46" s="696">
        <v>7957</v>
      </c>
      <c r="D46" s="696">
        <v>21</v>
      </c>
      <c r="E46" s="675">
        <f t="shared" si="2"/>
        <v>7978</v>
      </c>
      <c r="F46" s="696">
        <v>10892.885671865091</v>
      </c>
      <c r="G46" s="696"/>
      <c r="H46" s="675">
        <f t="shared" si="3"/>
        <v>10892.885671865091</v>
      </c>
    </row>
    <row r="47" spans="1:8">
      <c r="A47" s="446">
        <v>19</v>
      </c>
      <c r="B47" s="420" t="s">
        <v>758</v>
      </c>
      <c r="C47" s="696">
        <v>139799.78</v>
      </c>
      <c r="D47" s="696">
        <v>0</v>
      </c>
      <c r="E47" s="675">
        <f t="shared" si="2"/>
        <v>139799.78</v>
      </c>
      <c r="F47" s="696">
        <v>2766981.2239999999</v>
      </c>
      <c r="G47" s="696">
        <v>0</v>
      </c>
      <c r="H47" s="675">
        <f t="shared" si="3"/>
        <v>2766981.2239999999</v>
      </c>
    </row>
    <row r="48" spans="1:8">
      <c r="A48" s="446">
        <v>19.100000000000001</v>
      </c>
      <c r="B48" s="421" t="s">
        <v>759</v>
      </c>
      <c r="C48" s="696">
        <v>26661.78</v>
      </c>
      <c r="D48" s="696">
        <v>0</v>
      </c>
      <c r="E48" s="675">
        <f t="shared" si="2"/>
        <v>26661.78</v>
      </c>
      <c r="F48" s="696">
        <v>0</v>
      </c>
      <c r="G48" s="696"/>
      <c r="H48" s="675">
        <f t="shared" si="3"/>
        <v>0</v>
      </c>
    </row>
    <row r="49" spans="1:8">
      <c r="A49" s="446">
        <v>19.2</v>
      </c>
      <c r="B49" s="422" t="s">
        <v>760</v>
      </c>
      <c r="C49" s="696">
        <v>113138</v>
      </c>
      <c r="D49" s="696">
        <v>0</v>
      </c>
      <c r="E49" s="675">
        <f t="shared" si="2"/>
        <v>113138</v>
      </c>
      <c r="F49" s="696">
        <v>2766981.2239999999</v>
      </c>
      <c r="G49" s="696"/>
      <c r="H49" s="675">
        <f t="shared" si="3"/>
        <v>2766981.2239999999</v>
      </c>
    </row>
    <row r="50" spans="1:8">
      <c r="A50" s="446">
        <v>20</v>
      </c>
      <c r="B50" s="423" t="s">
        <v>101</v>
      </c>
      <c r="C50" s="696">
        <v>0</v>
      </c>
      <c r="D50" s="696">
        <v>100375447.6059</v>
      </c>
      <c r="E50" s="675">
        <f t="shared" si="2"/>
        <v>100375447.6059</v>
      </c>
      <c r="F50" s="696">
        <v>0</v>
      </c>
      <c r="G50" s="696">
        <v>85990809.61940001</v>
      </c>
      <c r="H50" s="675">
        <f t="shared" si="3"/>
        <v>85990809.61940001</v>
      </c>
    </row>
    <row r="51" spans="1:8">
      <c r="A51" s="446">
        <v>21</v>
      </c>
      <c r="B51" s="424" t="s">
        <v>89</v>
      </c>
      <c r="C51" s="696">
        <v>4026401.7878420698</v>
      </c>
      <c r="D51" s="696">
        <v>14634076.118399994</v>
      </c>
      <c r="E51" s="675">
        <f t="shared" si="2"/>
        <v>18660477.906242065</v>
      </c>
      <c r="F51" s="696">
        <v>1935279.2001389426</v>
      </c>
      <c r="G51" s="696">
        <v>13922951.914189192</v>
      </c>
      <c r="H51" s="675">
        <f t="shared" si="3"/>
        <v>15858231.114328135</v>
      </c>
    </row>
    <row r="52" spans="1:8">
      <c r="A52" s="446">
        <v>21.1</v>
      </c>
      <c r="B52" s="419" t="s">
        <v>761</v>
      </c>
      <c r="C52" s="696">
        <v>1060412.6299999999</v>
      </c>
      <c r="D52" s="696"/>
      <c r="E52" s="675">
        <f t="shared" si="2"/>
        <v>1060412.6299999999</v>
      </c>
      <c r="F52" s="696">
        <v>0</v>
      </c>
      <c r="G52" s="696"/>
      <c r="H52" s="675">
        <f t="shared" si="3"/>
        <v>0</v>
      </c>
    </row>
    <row r="53" spans="1:8">
      <c r="A53" s="446">
        <v>22</v>
      </c>
      <c r="B53" s="423" t="s">
        <v>762</v>
      </c>
      <c r="C53" s="696">
        <v>17249389.607842069</v>
      </c>
      <c r="D53" s="696">
        <v>116474146.3106</v>
      </c>
      <c r="E53" s="675">
        <f t="shared" si="2"/>
        <v>133723535.91844207</v>
      </c>
      <c r="F53" s="696">
        <v>23055118.309810806</v>
      </c>
      <c r="G53" s="696">
        <v>101260312.5335892</v>
      </c>
      <c r="H53" s="675">
        <f t="shared" si="3"/>
        <v>124315430.8434</v>
      </c>
    </row>
    <row r="54" spans="1:8" ht="24" customHeight="1">
      <c r="A54" s="446"/>
      <c r="B54" s="425" t="s">
        <v>763</v>
      </c>
      <c r="C54" s="810"/>
      <c r="D54" s="811"/>
      <c r="E54" s="811"/>
      <c r="F54" s="811"/>
      <c r="G54" s="811"/>
      <c r="H54" s="812"/>
    </row>
    <row r="55" spans="1:8">
      <c r="A55" s="446">
        <v>23</v>
      </c>
      <c r="B55" s="423" t="s">
        <v>105</v>
      </c>
      <c r="C55" s="696">
        <v>209008277</v>
      </c>
      <c r="D55" s="696"/>
      <c r="E55" s="675">
        <f>C55+D55</f>
        <v>209008277</v>
      </c>
      <c r="F55" s="696">
        <v>209008277</v>
      </c>
      <c r="G55" s="696"/>
      <c r="H55" s="675">
        <f>F55+G55</f>
        <v>209008277</v>
      </c>
    </row>
    <row r="56" spans="1:8">
      <c r="A56" s="446">
        <v>24</v>
      </c>
      <c r="B56" s="423" t="s">
        <v>764</v>
      </c>
      <c r="C56" s="696"/>
      <c r="D56" s="696"/>
      <c r="E56" s="675">
        <f t="shared" ref="E56:E69" si="4">C56+D56</f>
        <v>0</v>
      </c>
      <c r="F56" s="696"/>
      <c r="G56" s="696"/>
      <c r="H56" s="675">
        <f t="shared" ref="H56:H69" si="5">F56+G56</f>
        <v>0</v>
      </c>
    </row>
    <row r="57" spans="1:8">
      <c r="A57" s="446">
        <v>25</v>
      </c>
      <c r="B57" s="426" t="s">
        <v>102</v>
      </c>
      <c r="C57" s="696"/>
      <c r="D57" s="696"/>
      <c r="E57" s="675">
        <f t="shared" si="4"/>
        <v>0</v>
      </c>
      <c r="F57" s="696"/>
      <c r="G57" s="696"/>
      <c r="H57" s="675">
        <f t="shared" si="5"/>
        <v>0</v>
      </c>
    </row>
    <row r="58" spans="1:8">
      <c r="A58" s="446">
        <v>26</v>
      </c>
      <c r="B58" s="420" t="s">
        <v>765</v>
      </c>
      <c r="C58" s="696"/>
      <c r="D58" s="696"/>
      <c r="E58" s="675">
        <f t="shared" si="4"/>
        <v>0</v>
      </c>
      <c r="F58" s="696"/>
      <c r="G58" s="696"/>
      <c r="H58" s="675">
        <f t="shared" si="5"/>
        <v>0</v>
      </c>
    </row>
    <row r="59" spans="1:8" ht="21">
      <c r="A59" s="446">
        <v>27</v>
      </c>
      <c r="B59" s="420" t="s">
        <v>766</v>
      </c>
      <c r="C59" s="696">
        <v>0</v>
      </c>
      <c r="D59" s="696">
        <v>49978300</v>
      </c>
      <c r="E59" s="675">
        <f t="shared" si="4"/>
        <v>49978300</v>
      </c>
      <c r="F59" s="696">
        <v>0</v>
      </c>
      <c r="G59" s="696">
        <v>46622500</v>
      </c>
      <c r="H59" s="675">
        <f t="shared" si="5"/>
        <v>46622500</v>
      </c>
    </row>
    <row r="60" spans="1:8">
      <c r="A60" s="446">
        <v>27.1</v>
      </c>
      <c r="B60" s="427" t="s">
        <v>767</v>
      </c>
      <c r="C60" s="696">
        <v>0</v>
      </c>
      <c r="D60" s="696">
        <v>49978300</v>
      </c>
      <c r="E60" s="675">
        <f t="shared" si="4"/>
        <v>49978300</v>
      </c>
      <c r="F60" s="696">
        <v>0</v>
      </c>
      <c r="G60" s="696">
        <v>46622505</v>
      </c>
      <c r="H60" s="675">
        <f t="shared" si="5"/>
        <v>46622505</v>
      </c>
    </row>
    <row r="61" spans="1:8">
      <c r="A61" s="446">
        <v>27.2</v>
      </c>
      <c r="B61" s="418" t="s">
        <v>768</v>
      </c>
      <c r="C61" s="696"/>
      <c r="D61" s="696"/>
      <c r="E61" s="675">
        <f t="shared" si="4"/>
        <v>0</v>
      </c>
      <c r="F61" s="696"/>
      <c r="G61" s="696"/>
      <c r="H61" s="675">
        <f t="shared" si="5"/>
        <v>0</v>
      </c>
    </row>
    <row r="62" spans="1:8">
      <c r="A62" s="446">
        <v>28</v>
      </c>
      <c r="B62" s="424" t="s">
        <v>769</v>
      </c>
      <c r="C62" s="696"/>
      <c r="D62" s="696"/>
      <c r="E62" s="675">
        <f t="shared" si="4"/>
        <v>0</v>
      </c>
      <c r="F62" s="696"/>
      <c r="G62" s="696"/>
      <c r="H62" s="675">
        <f t="shared" si="5"/>
        <v>0</v>
      </c>
    </row>
    <row r="63" spans="1:8">
      <c r="A63" s="446">
        <v>29</v>
      </c>
      <c r="B63" s="420" t="s">
        <v>770</v>
      </c>
      <c r="C63" s="696">
        <v>11667950</v>
      </c>
      <c r="D63" s="696">
        <v>0</v>
      </c>
      <c r="E63" s="675">
        <f t="shared" si="4"/>
        <v>11667950</v>
      </c>
      <c r="F63" s="696">
        <v>11764051</v>
      </c>
      <c r="G63" s="696">
        <v>0</v>
      </c>
      <c r="H63" s="675">
        <f t="shared" si="5"/>
        <v>11764051</v>
      </c>
    </row>
    <row r="64" spans="1:8">
      <c r="A64" s="446">
        <v>29.1</v>
      </c>
      <c r="B64" s="409" t="s">
        <v>771</v>
      </c>
      <c r="C64" s="696">
        <v>11667950</v>
      </c>
      <c r="D64" s="696"/>
      <c r="E64" s="675">
        <f t="shared" si="4"/>
        <v>11667950</v>
      </c>
      <c r="F64" s="696">
        <v>11764051</v>
      </c>
      <c r="G64" s="696"/>
      <c r="H64" s="675">
        <f t="shared" si="5"/>
        <v>11764051</v>
      </c>
    </row>
    <row r="65" spans="1:8" ht="25.35" customHeight="1">
      <c r="A65" s="446">
        <v>29.2</v>
      </c>
      <c r="B65" s="427" t="s">
        <v>772</v>
      </c>
      <c r="C65" s="696"/>
      <c r="D65" s="696"/>
      <c r="E65" s="675">
        <f t="shared" si="4"/>
        <v>0</v>
      </c>
      <c r="F65" s="696"/>
      <c r="G65" s="696"/>
      <c r="H65" s="675">
        <f t="shared" si="5"/>
        <v>0</v>
      </c>
    </row>
    <row r="66" spans="1:8" ht="22.5" customHeight="1">
      <c r="A66" s="446">
        <v>29.3</v>
      </c>
      <c r="B66" s="412" t="s">
        <v>773</v>
      </c>
      <c r="C66" s="696"/>
      <c r="D66" s="696"/>
      <c r="E66" s="675">
        <f t="shared" si="4"/>
        <v>0</v>
      </c>
      <c r="F66" s="696"/>
      <c r="G66" s="696"/>
      <c r="H66" s="675">
        <f t="shared" si="5"/>
        <v>0</v>
      </c>
    </row>
    <row r="67" spans="1:8">
      <c r="A67" s="446">
        <v>30</v>
      </c>
      <c r="B67" s="408" t="s">
        <v>103</v>
      </c>
      <c r="C67" s="696">
        <v>53904064.68</v>
      </c>
      <c r="D67" s="696"/>
      <c r="E67" s="675">
        <f t="shared" si="4"/>
        <v>53904064.68</v>
      </c>
      <c r="F67" s="696">
        <v>67979070.013637617</v>
      </c>
      <c r="G67" s="696"/>
      <c r="H67" s="675">
        <f t="shared" si="5"/>
        <v>67979070.013637617</v>
      </c>
    </row>
    <row r="68" spans="1:8">
      <c r="A68" s="446">
        <v>31</v>
      </c>
      <c r="B68" s="428" t="s">
        <v>774</v>
      </c>
      <c r="C68" s="696">
        <v>274580291.68000001</v>
      </c>
      <c r="D68" s="696">
        <v>49978300</v>
      </c>
      <c r="E68" s="675">
        <f t="shared" si="4"/>
        <v>324558591.68000001</v>
      </c>
      <c r="F68" s="696">
        <v>288751398.0136376</v>
      </c>
      <c r="G68" s="696">
        <v>46622505</v>
      </c>
      <c r="H68" s="675">
        <f t="shared" si="5"/>
        <v>335373903.0136376</v>
      </c>
    </row>
    <row r="69" spans="1:8">
      <c r="A69" s="446">
        <v>32</v>
      </c>
      <c r="B69" s="429" t="s">
        <v>775</v>
      </c>
      <c r="C69" s="696">
        <v>291829681.28784209</v>
      </c>
      <c r="D69" s="696">
        <v>166452446.31059998</v>
      </c>
      <c r="E69" s="675">
        <f t="shared" si="4"/>
        <v>458282127.59844208</v>
      </c>
      <c r="F69" s="696">
        <v>311806516.32344842</v>
      </c>
      <c r="G69" s="696">
        <f>G68+G53</f>
        <v>147882817.53358918</v>
      </c>
      <c r="H69" s="675">
        <f t="shared" si="5"/>
        <v>459689333.8570376</v>
      </c>
    </row>
    <row r="70" spans="1:8">
      <c r="C70" s="676"/>
      <c r="D70" s="676"/>
      <c r="E70" s="794">
        <f>E69-E36</f>
        <v>-2.8961896896362305E-2</v>
      </c>
      <c r="F70" s="676"/>
      <c r="G70" s="676"/>
      <c r="H70" s="794">
        <f>H69-H36</f>
        <v>-2.7289927005767822E-2</v>
      </c>
    </row>
    <row r="71" spans="1:8">
      <c r="C71" s="676"/>
      <c r="D71" s="676"/>
      <c r="E71" s="676"/>
      <c r="F71" s="676"/>
      <c r="G71" s="676"/>
      <c r="H71" s="676"/>
    </row>
    <row r="72" spans="1:8">
      <c r="C72" s="676"/>
      <c r="D72" s="676"/>
      <c r="E72" s="676"/>
      <c r="F72" s="676"/>
      <c r="G72" s="676"/>
      <c r="H72" s="676"/>
    </row>
    <row r="73" spans="1:8">
      <c r="C73" s="676"/>
      <c r="D73" s="676"/>
      <c r="E73" s="676"/>
      <c r="F73" s="676"/>
      <c r="G73" s="676"/>
      <c r="H73" s="676"/>
    </row>
    <row r="74" spans="1:8">
      <c r="C74" s="676"/>
      <c r="D74" s="676"/>
      <c r="E74" s="676"/>
      <c r="F74" s="676"/>
      <c r="G74" s="676"/>
      <c r="H74" s="676"/>
    </row>
    <row r="75" spans="1:8">
      <c r="C75" s="676"/>
      <c r="D75" s="676"/>
      <c r="E75" s="676"/>
      <c r="F75" s="676"/>
      <c r="G75" s="676"/>
      <c r="H75" s="676"/>
    </row>
    <row r="76" spans="1:8">
      <c r="C76" s="676"/>
      <c r="D76" s="676"/>
      <c r="E76" s="676"/>
      <c r="F76" s="676"/>
      <c r="G76" s="676"/>
      <c r="H76" s="676"/>
    </row>
    <row r="77" spans="1:8">
      <c r="C77" s="676"/>
      <c r="D77" s="676"/>
      <c r="E77" s="676"/>
      <c r="F77" s="676"/>
      <c r="G77" s="676"/>
      <c r="H77" s="676"/>
    </row>
    <row r="78" spans="1:8">
      <c r="C78" s="676"/>
      <c r="D78" s="676"/>
      <c r="E78" s="676"/>
      <c r="F78" s="676"/>
      <c r="G78" s="676"/>
      <c r="H78" s="676"/>
    </row>
    <row r="79" spans="1:8">
      <c r="C79" s="676"/>
      <c r="D79" s="676"/>
      <c r="E79" s="676"/>
      <c r="F79" s="676"/>
      <c r="G79" s="676"/>
      <c r="H79" s="676"/>
    </row>
    <row r="80" spans="1:8">
      <c r="C80" s="676"/>
      <c r="D80" s="676"/>
      <c r="E80" s="676"/>
      <c r="F80" s="676"/>
      <c r="G80" s="676"/>
      <c r="H80" s="676"/>
    </row>
    <row r="81" spans="3:8">
      <c r="C81" s="676"/>
      <c r="D81" s="676"/>
      <c r="E81" s="676"/>
      <c r="F81" s="676"/>
      <c r="G81" s="676"/>
      <c r="H81" s="676"/>
    </row>
    <row r="82" spans="3:8">
      <c r="C82" s="676"/>
      <c r="D82" s="676"/>
      <c r="E82" s="676"/>
      <c r="F82" s="676"/>
      <c r="G82" s="676"/>
      <c r="H82" s="676"/>
    </row>
    <row r="83" spans="3:8">
      <c r="C83" s="676"/>
      <c r="D83" s="676"/>
      <c r="E83" s="676"/>
      <c r="F83" s="676"/>
      <c r="G83" s="676"/>
      <c r="H83" s="676"/>
    </row>
    <row r="84" spans="3:8">
      <c r="C84" s="676"/>
      <c r="D84" s="676"/>
      <c r="E84" s="676"/>
      <c r="F84" s="676"/>
      <c r="G84" s="676"/>
      <c r="H84" s="676"/>
    </row>
    <row r="85" spans="3:8">
      <c r="C85" s="676"/>
      <c r="D85" s="676"/>
      <c r="E85" s="676"/>
      <c r="F85" s="676"/>
      <c r="G85" s="676"/>
      <c r="H85" s="676"/>
    </row>
    <row r="86" spans="3:8">
      <c r="C86" s="676"/>
      <c r="D86" s="676"/>
      <c r="E86" s="676"/>
      <c r="F86" s="676"/>
      <c r="G86" s="676"/>
      <c r="H86" s="676"/>
    </row>
    <row r="87" spans="3:8">
      <c r="C87" s="676"/>
      <c r="D87" s="676"/>
      <c r="E87" s="676"/>
      <c r="F87" s="676"/>
      <c r="G87" s="676"/>
      <c r="H87" s="676"/>
    </row>
    <row r="88" spans="3:8">
      <c r="C88" s="676"/>
      <c r="D88" s="676"/>
      <c r="E88" s="676"/>
      <c r="F88" s="676"/>
      <c r="G88" s="676"/>
      <c r="H88" s="676"/>
    </row>
    <row r="89" spans="3:8">
      <c r="C89" s="676"/>
      <c r="D89" s="676"/>
      <c r="E89" s="676"/>
      <c r="F89" s="676"/>
      <c r="G89" s="676"/>
      <c r="H89" s="676"/>
    </row>
    <row r="90" spans="3:8">
      <c r="C90" s="676"/>
      <c r="D90" s="676"/>
      <c r="E90" s="676"/>
      <c r="F90" s="676"/>
      <c r="G90" s="676"/>
      <c r="H90" s="676"/>
    </row>
    <row r="91" spans="3:8">
      <c r="C91" s="676"/>
      <c r="D91" s="676"/>
      <c r="E91" s="676"/>
      <c r="F91" s="676"/>
      <c r="G91" s="676"/>
      <c r="H91" s="676"/>
    </row>
    <row r="92" spans="3:8">
      <c r="C92" s="676"/>
      <c r="D92" s="676"/>
      <c r="E92" s="676"/>
      <c r="F92" s="676"/>
      <c r="G92" s="676"/>
      <c r="H92" s="676"/>
    </row>
    <row r="93" spans="3:8">
      <c r="C93" s="676"/>
      <c r="D93" s="676"/>
      <c r="E93" s="676"/>
      <c r="F93" s="676"/>
      <c r="G93" s="676"/>
      <c r="H93" s="676"/>
    </row>
    <row r="94" spans="3:8">
      <c r="C94" s="676"/>
      <c r="D94" s="676"/>
      <c r="E94" s="676"/>
      <c r="F94" s="676"/>
      <c r="G94" s="676"/>
      <c r="H94" s="676"/>
    </row>
    <row r="95" spans="3:8">
      <c r="C95" s="676"/>
      <c r="D95" s="676"/>
      <c r="E95" s="676"/>
      <c r="F95" s="676"/>
      <c r="G95" s="676"/>
      <c r="H95" s="676"/>
    </row>
    <row r="96" spans="3:8">
      <c r="C96" s="676"/>
      <c r="D96" s="676"/>
      <c r="E96" s="676"/>
      <c r="F96" s="676"/>
      <c r="G96" s="676"/>
      <c r="H96" s="676"/>
    </row>
    <row r="97" spans="3:8">
      <c r="C97" s="676"/>
      <c r="D97" s="676"/>
      <c r="E97" s="676"/>
      <c r="F97" s="676"/>
      <c r="G97" s="676"/>
      <c r="H97" s="676"/>
    </row>
    <row r="98" spans="3:8">
      <c r="C98" s="676"/>
      <c r="D98" s="676"/>
      <c r="E98" s="676"/>
      <c r="F98" s="676"/>
      <c r="G98" s="676"/>
      <c r="H98" s="676"/>
    </row>
    <row r="99" spans="3:8">
      <c r="C99" s="676"/>
      <c r="D99" s="676"/>
      <c r="E99" s="676"/>
      <c r="F99" s="676"/>
      <c r="G99" s="676"/>
      <c r="H99" s="676"/>
    </row>
    <row r="100" spans="3:8">
      <c r="C100" s="676"/>
      <c r="D100" s="676"/>
      <c r="E100" s="676"/>
      <c r="F100" s="676"/>
      <c r="G100" s="676"/>
      <c r="H100" s="676"/>
    </row>
    <row r="101" spans="3:8">
      <c r="C101" s="676"/>
      <c r="D101" s="676"/>
      <c r="E101" s="676"/>
      <c r="F101" s="676"/>
      <c r="G101" s="676"/>
      <c r="H101" s="676"/>
    </row>
    <row r="102" spans="3:8">
      <c r="C102" s="676"/>
      <c r="D102" s="676"/>
      <c r="E102" s="676"/>
      <c r="F102" s="676"/>
      <c r="G102" s="676"/>
      <c r="H102" s="676"/>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topLeftCell="A142" zoomScale="80" zoomScaleNormal="80" workbookViewId="0">
      <selection activeCell="C154" sqref="C154"/>
    </sheetView>
  </sheetViews>
  <sheetFormatPr defaultColWidth="43.5703125" defaultRowHeight="11.25"/>
  <cols>
    <col min="1" max="1" width="8" style="162" customWidth="1"/>
    <col min="2" max="2" width="66.28515625" style="163" customWidth="1"/>
    <col min="3" max="3" width="131.42578125" style="164" customWidth="1"/>
    <col min="4" max="5" width="10.28515625" style="155" customWidth="1"/>
    <col min="6" max="6" width="67.7109375" style="155" customWidth="1"/>
    <col min="7" max="16384" width="43.5703125" style="155"/>
  </cols>
  <sheetData>
    <row r="1" spans="1:3" ht="12.75" thickTop="1" thickBot="1">
      <c r="A1" s="984" t="s">
        <v>187</v>
      </c>
      <c r="B1" s="985"/>
      <c r="C1" s="986"/>
    </row>
    <row r="2" spans="1:3" ht="26.25" customHeight="1">
      <c r="A2" s="391"/>
      <c r="B2" s="987" t="s">
        <v>188</v>
      </c>
      <c r="C2" s="987"/>
    </row>
    <row r="3" spans="1:3" s="160" customFormat="1" ht="11.25" customHeight="1">
      <c r="A3" s="159"/>
      <c r="B3" s="987" t="s">
        <v>263</v>
      </c>
      <c r="C3" s="987"/>
    </row>
    <row r="4" spans="1:3" ht="12" customHeight="1" thickBot="1">
      <c r="A4" s="966" t="s">
        <v>267</v>
      </c>
      <c r="B4" s="967"/>
      <c r="C4" s="968"/>
    </row>
    <row r="5" spans="1:3" ht="12" thickTop="1">
      <c r="A5" s="156"/>
      <c r="B5" s="969" t="s">
        <v>189</v>
      </c>
      <c r="C5" s="970"/>
    </row>
    <row r="6" spans="1:3">
      <c r="A6" s="391"/>
      <c r="B6" s="946" t="s">
        <v>264</v>
      </c>
      <c r="C6" s="947"/>
    </row>
    <row r="7" spans="1:3">
      <c r="A7" s="391"/>
      <c r="B7" s="946" t="s">
        <v>190</v>
      </c>
      <c r="C7" s="947"/>
    </row>
    <row r="8" spans="1:3">
      <c r="A8" s="391"/>
      <c r="B8" s="946" t="s">
        <v>265</v>
      </c>
      <c r="C8" s="947"/>
    </row>
    <row r="9" spans="1:3">
      <c r="A9" s="391"/>
      <c r="B9" s="990" t="s">
        <v>266</v>
      </c>
      <c r="C9" s="991"/>
    </row>
    <row r="10" spans="1:3">
      <c r="A10" s="391"/>
      <c r="B10" s="982" t="s">
        <v>191</v>
      </c>
      <c r="C10" s="983" t="s">
        <v>191</v>
      </c>
    </row>
    <row r="11" spans="1:3">
      <c r="A11" s="391"/>
      <c r="B11" s="982" t="s">
        <v>192</v>
      </c>
      <c r="C11" s="983" t="s">
        <v>192</v>
      </c>
    </row>
    <row r="12" spans="1:3">
      <c r="A12" s="391"/>
      <c r="B12" s="982" t="s">
        <v>193</v>
      </c>
      <c r="C12" s="983" t="s">
        <v>193</v>
      </c>
    </row>
    <row r="13" spans="1:3">
      <c r="A13" s="391"/>
      <c r="B13" s="982" t="s">
        <v>194</v>
      </c>
      <c r="C13" s="983" t="s">
        <v>194</v>
      </c>
    </row>
    <row r="14" spans="1:3">
      <c r="A14" s="391"/>
      <c r="B14" s="982" t="s">
        <v>195</v>
      </c>
      <c r="C14" s="983" t="s">
        <v>195</v>
      </c>
    </row>
    <row r="15" spans="1:3" ht="21.75" customHeight="1">
      <c r="A15" s="391"/>
      <c r="B15" s="982" t="s">
        <v>196</v>
      </c>
      <c r="C15" s="983" t="s">
        <v>196</v>
      </c>
    </row>
    <row r="16" spans="1:3">
      <c r="A16" s="391"/>
      <c r="B16" s="982" t="s">
        <v>197</v>
      </c>
      <c r="C16" s="983" t="s">
        <v>198</v>
      </c>
    </row>
    <row r="17" spans="1:6">
      <c r="A17" s="391"/>
      <c r="B17" s="982" t="s">
        <v>199</v>
      </c>
      <c r="C17" s="983" t="s">
        <v>200</v>
      </c>
    </row>
    <row r="18" spans="1:6">
      <c r="A18" s="391"/>
      <c r="B18" s="982" t="s">
        <v>201</v>
      </c>
      <c r="C18" s="983" t="s">
        <v>202</v>
      </c>
    </row>
    <row r="19" spans="1:6">
      <c r="A19" s="391"/>
      <c r="B19" s="982" t="s">
        <v>203</v>
      </c>
      <c r="C19" s="983" t="s">
        <v>203</v>
      </c>
    </row>
    <row r="20" spans="1:6">
      <c r="A20" s="391"/>
      <c r="B20" s="988" t="s">
        <v>959</v>
      </c>
      <c r="C20" s="989" t="s">
        <v>204</v>
      </c>
    </row>
    <row r="21" spans="1:6">
      <c r="A21" s="391"/>
      <c r="B21" s="982" t="s">
        <v>948</v>
      </c>
      <c r="C21" s="983" t="s">
        <v>205</v>
      </c>
    </row>
    <row r="22" spans="1:6" ht="23.25" customHeight="1">
      <c r="A22" s="391"/>
      <c r="B22" s="982" t="s">
        <v>206</v>
      </c>
      <c r="C22" s="983" t="s">
        <v>207</v>
      </c>
      <c r="F22" s="620"/>
    </row>
    <row r="23" spans="1:6">
      <c r="A23" s="391"/>
      <c r="B23" s="982" t="s">
        <v>208</v>
      </c>
      <c r="C23" s="983" t="s">
        <v>208</v>
      </c>
    </row>
    <row r="24" spans="1:6">
      <c r="A24" s="391"/>
      <c r="B24" s="982" t="s">
        <v>209</v>
      </c>
      <c r="C24" s="983" t="s">
        <v>210</v>
      </c>
    </row>
    <row r="25" spans="1:6" ht="12" thickBot="1">
      <c r="A25" s="157"/>
      <c r="B25" s="976" t="s">
        <v>211</v>
      </c>
      <c r="C25" s="977"/>
    </row>
    <row r="26" spans="1:6" ht="12.75" thickTop="1" thickBot="1">
      <c r="A26" s="966" t="s">
        <v>844</v>
      </c>
      <c r="B26" s="967"/>
      <c r="C26" s="968"/>
    </row>
    <row r="27" spans="1:6" ht="12.75" thickTop="1" thickBot="1">
      <c r="A27" s="158"/>
      <c r="B27" s="978" t="s">
        <v>845</v>
      </c>
      <c r="C27" s="979"/>
    </row>
    <row r="28" spans="1:6" ht="12.75" thickTop="1" thickBot="1">
      <c r="A28" s="966" t="s">
        <v>268</v>
      </c>
      <c r="B28" s="967"/>
      <c r="C28" s="968"/>
    </row>
    <row r="29" spans="1:6" ht="12" thickTop="1">
      <c r="A29" s="156"/>
      <c r="B29" s="980" t="s">
        <v>848</v>
      </c>
      <c r="C29" s="981" t="s">
        <v>212</v>
      </c>
    </row>
    <row r="30" spans="1:6">
      <c r="A30" s="391"/>
      <c r="B30" s="971" t="s">
        <v>216</v>
      </c>
      <c r="C30" s="972" t="s">
        <v>213</v>
      </c>
    </row>
    <row r="31" spans="1:6">
      <c r="A31" s="391"/>
      <c r="B31" s="971" t="s">
        <v>846</v>
      </c>
      <c r="C31" s="972" t="s">
        <v>214</v>
      </c>
    </row>
    <row r="32" spans="1:6">
      <c r="A32" s="391"/>
      <c r="B32" s="971" t="s">
        <v>847</v>
      </c>
      <c r="C32" s="972" t="s">
        <v>215</v>
      </c>
    </row>
    <row r="33" spans="1:3">
      <c r="A33" s="391"/>
      <c r="B33" s="971" t="s">
        <v>219</v>
      </c>
      <c r="C33" s="972" t="s">
        <v>220</v>
      </c>
    </row>
    <row r="34" spans="1:3">
      <c r="A34" s="391"/>
      <c r="B34" s="971" t="s">
        <v>849</v>
      </c>
      <c r="C34" s="972" t="s">
        <v>217</v>
      </c>
    </row>
    <row r="35" spans="1:3">
      <c r="A35" s="391"/>
      <c r="B35" s="971" t="s">
        <v>850</v>
      </c>
      <c r="C35" s="972" t="s">
        <v>218</v>
      </c>
    </row>
    <row r="36" spans="1:3">
      <c r="A36" s="391"/>
      <c r="B36" s="973" t="s">
        <v>851</v>
      </c>
      <c r="C36" s="974"/>
    </row>
    <row r="37" spans="1:3" ht="24.75" customHeight="1">
      <c r="A37" s="391"/>
      <c r="B37" s="971" t="s">
        <v>852</v>
      </c>
      <c r="C37" s="972" t="s">
        <v>221</v>
      </c>
    </row>
    <row r="38" spans="1:3" ht="23.25" customHeight="1">
      <c r="A38" s="391"/>
      <c r="B38" s="971" t="s">
        <v>853</v>
      </c>
      <c r="C38" s="972" t="s">
        <v>222</v>
      </c>
    </row>
    <row r="39" spans="1:3" ht="23.25" customHeight="1">
      <c r="A39" s="457"/>
      <c r="B39" s="973" t="s">
        <v>854</v>
      </c>
      <c r="C39" s="975"/>
    </row>
    <row r="40" spans="1:3" ht="12" customHeight="1">
      <c r="A40" s="391"/>
      <c r="B40" s="971" t="s">
        <v>855</v>
      </c>
      <c r="C40" s="972"/>
    </row>
    <row r="41" spans="1:3" ht="12" thickBot="1">
      <c r="A41" s="966" t="s">
        <v>269</v>
      </c>
      <c r="B41" s="967"/>
      <c r="C41" s="968"/>
    </row>
    <row r="42" spans="1:3" ht="12" thickTop="1">
      <c r="A42" s="156"/>
      <c r="B42" s="969" t="s">
        <v>299</v>
      </c>
      <c r="C42" s="970" t="s">
        <v>223</v>
      </c>
    </row>
    <row r="43" spans="1:3">
      <c r="A43" s="391"/>
      <c r="B43" s="946" t="s">
        <v>298</v>
      </c>
      <c r="C43" s="947"/>
    </row>
    <row r="44" spans="1:3" ht="23.25" customHeight="1" thickBot="1">
      <c r="A44" s="157"/>
      <c r="B44" s="964" t="s">
        <v>224</v>
      </c>
      <c r="C44" s="965" t="s">
        <v>225</v>
      </c>
    </row>
    <row r="45" spans="1:3" ht="11.25" customHeight="1" thickTop="1" thickBot="1">
      <c r="A45" s="966" t="s">
        <v>270</v>
      </c>
      <c r="B45" s="967"/>
      <c r="C45" s="968"/>
    </row>
    <row r="46" spans="1:3" ht="26.25" customHeight="1" thickTop="1">
      <c r="A46" s="391"/>
      <c r="B46" s="946" t="s">
        <v>271</v>
      </c>
      <c r="C46" s="947"/>
    </row>
    <row r="47" spans="1:3" ht="12" thickBot="1">
      <c r="A47" s="966" t="s">
        <v>272</v>
      </c>
      <c r="B47" s="967"/>
      <c r="C47" s="968"/>
    </row>
    <row r="48" spans="1:3" ht="12" thickTop="1">
      <c r="A48" s="156"/>
      <c r="B48" s="969" t="s">
        <v>226</v>
      </c>
      <c r="C48" s="970" t="s">
        <v>226</v>
      </c>
    </row>
    <row r="49" spans="1:3" ht="11.25" customHeight="1">
      <c r="A49" s="391"/>
      <c r="B49" s="946" t="s">
        <v>227</v>
      </c>
      <c r="C49" s="947" t="s">
        <v>227</v>
      </c>
    </row>
    <row r="50" spans="1:3">
      <c r="A50" s="391"/>
      <c r="B50" s="946" t="s">
        <v>228</v>
      </c>
      <c r="C50" s="947" t="s">
        <v>228</v>
      </c>
    </row>
    <row r="51" spans="1:3" ht="11.25" customHeight="1">
      <c r="A51" s="391"/>
      <c r="B51" s="946" t="s">
        <v>857</v>
      </c>
      <c r="C51" s="947" t="s">
        <v>229</v>
      </c>
    </row>
    <row r="52" spans="1:3" ht="33.6" customHeight="1">
      <c r="A52" s="391"/>
      <c r="B52" s="946" t="s">
        <v>230</v>
      </c>
      <c r="C52" s="947" t="s">
        <v>230</v>
      </c>
    </row>
    <row r="53" spans="1:3" ht="11.25" customHeight="1">
      <c r="A53" s="391"/>
      <c r="B53" s="946" t="s">
        <v>319</v>
      </c>
      <c r="C53" s="947" t="s">
        <v>231</v>
      </c>
    </row>
    <row r="54" spans="1:3" ht="11.25" customHeight="1" thickBot="1">
      <c r="A54" s="966" t="s">
        <v>273</v>
      </c>
      <c r="B54" s="967"/>
      <c r="C54" s="968"/>
    </row>
    <row r="55" spans="1:3" ht="12" thickTop="1">
      <c r="A55" s="156"/>
      <c r="B55" s="969" t="s">
        <v>226</v>
      </c>
      <c r="C55" s="970" t="s">
        <v>226</v>
      </c>
    </row>
    <row r="56" spans="1:3">
      <c r="A56" s="391"/>
      <c r="B56" s="946" t="s">
        <v>232</v>
      </c>
      <c r="C56" s="947" t="s">
        <v>232</v>
      </c>
    </row>
    <row r="57" spans="1:3">
      <c r="A57" s="391"/>
      <c r="B57" s="946" t="s">
        <v>276</v>
      </c>
      <c r="C57" s="947" t="s">
        <v>233</v>
      </c>
    </row>
    <row r="58" spans="1:3">
      <c r="A58" s="391"/>
      <c r="B58" s="946" t="s">
        <v>234</v>
      </c>
      <c r="C58" s="947" t="s">
        <v>234</v>
      </c>
    </row>
    <row r="59" spans="1:3">
      <c r="A59" s="391"/>
      <c r="B59" s="946" t="s">
        <v>235</v>
      </c>
      <c r="C59" s="947" t="s">
        <v>235</v>
      </c>
    </row>
    <row r="60" spans="1:3">
      <c r="A60" s="391"/>
      <c r="B60" s="946" t="s">
        <v>236</v>
      </c>
      <c r="C60" s="947" t="s">
        <v>236</v>
      </c>
    </row>
    <row r="61" spans="1:3">
      <c r="A61" s="391"/>
      <c r="B61" s="946" t="s">
        <v>277</v>
      </c>
      <c r="C61" s="947" t="s">
        <v>237</v>
      </c>
    </row>
    <row r="62" spans="1:3">
      <c r="A62" s="391"/>
      <c r="B62" s="946" t="s">
        <v>238</v>
      </c>
      <c r="C62" s="947" t="s">
        <v>238</v>
      </c>
    </row>
    <row r="63" spans="1:3" ht="12" thickBot="1">
      <c r="A63" s="157"/>
      <c r="B63" s="964" t="s">
        <v>239</v>
      </c>
      <c r="C63" s="965" t="s">
        <v>239</v>
      </c>
    </row>
    <row r="64" spans="1:3" ht="11.25" customHeight="1" thickTop="1">
      <c r="A64" s="952" t="s">
        <v>274</v>
      </c>
      <c r="B64" s="953"/>
      <c r="C64" s="954"/>
    </row>
    <row r="65" spans="1:3" ht="12" thickBot="1">
      <c r="A65" s="157"/>
      <c r="B65" s="964" t="s">
        <v>240</v>
      </c>
      <c r="C65" s="965" t="s">
        <v>240</v>
      </c>
    </row>
    <row r="66" spans="1:3" ht="11.25" customHeight="1" thickTop="1" thickBot="1">
      <c r="A66" s="966" t="s">
        <v>275</v>
      </c>
      <c r="B66" s="967"/>
      <c r="C66" s="968"/>
    </row>
    <row r="67" spans="1:3" ht="12" thickTop="1">
      <c r="A67" s="156"/>
      <c r="B67" s="969" t="s">
        <v>241</v>
      </c>
      <c r="C67" s="970" t="s">
        <v>241</v>
      </c>
    </row>
    <row r="68" spans="1:3">
      <c r="A68" s="391"/>
      <c r="B68" s="946" t="s">
        <v>859</v>
      </c>
      <c r="C68" s="947" t="s">
        <v>242</v>
      </c>
    </row>
    <row r="69" spans="1:3">
      <c r="A69" s="391"/>
      <c r="B69" s="946" t="s">
        <v>243</v>
      </c>
      <c r="C69" s="947" t="s">
        <v>243</v>
      </c>
    </row>
    <row r="70" spans="1:3" ht="55.35" customHeight="1">
      <c r="A70" s="391"/>
      <c r="B70" s="962" t="s">
        <v>688</v>
      </c>
      <c r="C70" s="963" t="s">
        <v>244</v>
      </c>
    </row>
    <row r="71" spans="1:3" ht="33.75" customHeight="1">
      <c r="A71" s="391"/>
      <c r="B71" s="962" t="s">
        <v>278</v>
      </c>
      <c r="C71" s="963" t="s">
        <v>245</v>
      </c>
    </row>
    <row r="72" spans="1:3" ht="15.75" customHeight="1">
      <c r="A72" s="391"/>
      <c r="B72" s="962" t="s">
        <v>860</v>
      </c>
      <c r="C72" s="963" t="s">
        <v>246</v>
      </c>
    </row>
    <row r="73" spans="1:3">
      <c r="A73" s="391"/>
      <c r="B73" s="946" t="s">
        <v>247</v>
      </c>
      <c r="C73" s="947" t="s">
        <v>247</v>
      </c>
    </row>
    <row r="74" spans="1:3" ht="12" thickBot="1">
      <c r="A74" s="157"/>
      <c r="B74" s="964" t="s">
        <v>248</v>
      </c>
      <c r="C74" s="965" t="s">
        <v>248</v>
      </c>
    </row>
    <row r="75" spans="1:3" ht="12" thickTop="1">
      <c r="A75" s="952" t="s">
        <v>302</v>
      </c>
      <c r="B75" s="953"/>
      <c r="C75" s="954"/>
    </row>
    <row r="76" spans="1:3">
      <c r="A76" s="391"/>
      <c r="B76" s="946" t="s">
        <v>240</v>
      </c>
      <c r="C76" s="947"/>
    </row>
    <row r="77" spans="1:3">
      <c r="A77" s="391"/>
      <c r="B77" s="946" t="s">
        <v>300</v>
      </c>
      <c r="C77" s="947"/>
    </row>
    <row r="78" spans="1:3">
      <c r="A78" s="391"/>
      <c r="B78" s="946" t="s">
        <v>301</v>
      </c>
      <c r="C78" s="947"/>
    </row>
    <row r="79" spans="1:3">
      <c r="A79" s="952" t="s">
        <v>303</v>
      </c>
      <c r="B79" s="953"/>
      <c r="C79" s="954"/>
    </row>
    <row r="80" spans="1:3">
      <c r="A80" s="391"/>
      <c r="B80" s="946" t="s">
        <v>240</v>
      </c>
      <c r="C80" s="947"/>
    </row>
    <row r="81" spans="1:3">
      <c r="A81" s="391"/>
      <c r="B81" s="946" t="s">
        <v>304</v>
      </c>
      <c r="C81" s="947"/>
    </row>
    <row r="82" spans="1:3" ht="79.5" customHeight="1">
      <c r="A82" s="391"/>
      <c r="B82" s="946" t="s">
        <v>318</v>
      </c>
      <c r="C82" s="947"/>
    </row>
    <row r="83" spans="1:3" ht="53.25" customHeight="1">
      <c r="A83" s="391"/>
      <c r="B83" s="946" t="s">
        <v>317</v>
      </c>
      <c r="C83" s="947"/>
    </row>
    <row r="84" spans="1:3">
      <c r="A84" s="391"/>
      <c r="B84" s="946" t="s">
        <v>305</v>
      </c>
      <c r="C84" s="947"/>
    </row>
    <row r="85" spans="1:3">
      <c r="A85" s="391"/>
      <c r="B85" s="946" t="s">
        <v>306</v>
      </c>
      <c r="C85" s="947"/>
    </row>
    <row r="86" spans="1:3">
      <c r="A86" s="391"/>
      <c r="B86" s="946" t="s">
        <v>307</v>
      </c>
      <c r="C86" s="947"/>
    </row>
    <row r="87" spans="1:3">
      <c r="A87" s="952" t="s">
        <v>308</v>
      </c>
      <c r="B87" s="953"/>
      <c r="C87" s="954"/>
    </row>
    <row r="88" spans="1:3">
      <c r="A88" s="391"/>
      <c r="B88" s="946" t="s">
        <v>240</v>
      </c>
      <c r="C88" s="947"/>
    </row>
    <row r="89" spans="1:3">
      <c r="A89" s="391"/>
      <c r="B89" s="946" t="s">
        <v>310</v>
      </c>
      <c r="C89" s="947"/>
    </row>
    <row r="90" spans="1:3" ht="12" customHeight="1">
      <c r="A90" s="391"/>
      <c r="B90" s="946" t="s">
        <v>311</v>
      </c>
      <c r="C90" s="947"/>
    </row>
    <row r="91" spans="1:3">
      <c r="A91" s="391"/>
      <c r="B91" s="946" t="s">
        <v>312</v>
      </c>
      <c r="C91" s="947"/>
    </row>
    <row r="92" spans="1:3" ht="24.75" customHeight="1">
      <c r="A92" s="391"/>
      <c r="B92" s="955" t="s">
        <v>348</v>
      </c>
      <c r="C92" s="956"/>
    </row>
    <row r="93" spans="1:3" ht="24" customHeight="1">
      <c r="A93" s="391"/>
      <c r="B93" s="955" t="s">
        <v>349</v>
      </c>
      <c r="C93" s="956"/>
    </row>
    <row r="94" spans="1:3" ht="13.5" customHeight="1">
      <c r="A94" s="391"/>
      <c r="B94" s="957" t="s">
        <v>313</v>
      </c>
      <c r="C94" s="958"/>
    </row>
    <row r="95" spans="1:3" ht="11.25" customHeight="1" thickBot="1">
      <c r="A95" s="959" t="s">
        <v>344</v>
      </c>
      <c r="B95" s="960"/>
      <c r="C95" s="961"/>
    </row>
    <row r="96" spans="1:3" ht="12.75" thickTop="1" thickBot="1">
      <c r="A96" s="951" t="s">
        <v>249</v>
      </c>
      <c r="B96" s="951"/>
      <c r="C96" s="951"/>
    </row>
    <row r="97" spans="1:3">
      <c r="A97" s="230">
        <v>2</v>
      </c>
      <c r="B97" s="376" t="s">
        <v>324</v>
      </c>
      <c r="C97" s="376" t="s">
        <v>345</v>
      </c>
    </row>
    <row r="98" spans="1:3">
      <c r="A98" s="161">
        <v>3</v>
      </c>
      <c r="B98" s="377" t="s">
        <v>325</v>
      </c>
      <c r="C98" s="378" t="s">
        <v>346</v>
      </c>
    </row>
    <row r="99" spans="1:3">
      <c r="A99" s="161">
        <v>4</v>
      </c>
      <c r="B99" s="377" t="s">
        <v>326</v>
      </c>
      <c r="C99" s="378" t="s">
        <v>350</v>
      </c>
    </row>
    <row r="100" spans="1:3" ht="11.25" customHeight="1">
      <c r="A100" s="161">
        <v>5</v>
      </c>
      <c r="B100" s="377" t="s">
        <v>327</v>
      </c>
      <c r="C100" s="378" t="s">
        <v>347</v>
      </c>
    </row>
    <row r="101" spans="1:3" ht="12" customHeight="1">
      <c r="A101" s="161">
        <v>6</v>
      </c>
      <c r="B101" s="377" t="s">
        <v>342</v>
      </c>
      <c r="C101" s="378" t="s">
        <v>328</v>
      </c>
    </row>
    <row r="102" spans="1:3" ht="12" customHeight="1">
      <c r="A102" s="161">
        <v>7</v>
      </c>
      <c r="B102" s="377" t="s">
        <v>329</v>
      </c>
      <c r="C102" s="378" t="s">
        <v>343</v>
      </c>
    </row>
    <row r="103" spans="1:3">
      <c r="A103" s="161">
        <v>8</v>
      </c>
      <c r="B103" s="377" t="s">
        <v>334</v>
      </c>
      <c r="C103" s="378" t="s">
        <v>354</v>
      </c>
    </row>
    <row r="104" spans="1:3" ht="11.25" customHeight="1">
      <c r="A104" s="952" t="s">
        <v>314</v>
      </c>
      <c r="B104" s="953"/>
      <c r="C104" s="954"/>
    </row>
    <row r="105" spans="1:3" ht="12" customHeight="1">
      <c r="A105" s="391"/>
      <c r="B105" s="946" t="s">
        <v>240</v>
      </c>
      <c r="C105" s="947"/>
    </row>
    <row r="106" spans="1:3">
      <c r="A106" s="952" t="s">
        <v>489</v>
      </c>
      <c r="B106" s="953"/>
      <c r="C106" s="954"/>
    </row>
    <row r="107" spans="1:3" ht="12" customHeight="1">
      <c r="A107" s="391"/>
      <c r="B107" s="946" t="s">
        <v>491</v>
      </c>
      <c r="C107" s="947"/>
    </row>
    <row r="108" spans="1:3">
      <c r="A108" s="391"/>
      <c r="B108" s="946" t="s">
        <v>492</v>
      </c>
      <c r="C108" s="947"/>
    </row>
    <row r="109" spans="1:3">
      <c r="A109" s="391"/>
      <c r="B109" s="946" t="s">
        <v>490</v>
      </c>
      <c r="C109" s="947"/>
    </row>
    <row r="110" spans="1:3">
      <c r="A110" s="943" t="s">
        <v>724</v>
      </c>
      <c r="B110" s="943"/>
      <c r="C110" s="943"/>
    </row>
    <row r="111" spans="1:3">
      <c r="A111" s="948" t="s">
        <v>187</v>
      </c>
      <c r="B111" s="948"/>
      <c r="C111" s="948"/>
    </row>
    <row r="112" spans="1:3">
      <c r="A112" s="598">
        <v>1</v>
      </c>
      <c r="B112" s="933" t="s">
        <v>607</v>
      </c>
      <c r="C112" s="934"/>
    </row>
    <row r="113" spans="1:3">
      <c r="A113" s="598">
        <v>2</v>
      </c>
      <c r="B113" s="949" t="s">
        <v>608</v>
      </c>
      <c r="C113" s="950"/>
    </row>
    <row r="114" spans="1:3">
      <c r="A114" s="598">
        <v>3</v>
      </c>
      <c r="B114" s="933" t="s">
        <v>934</v>
      </c>
      <c r="C114" s="934"/>
    </row>
    <row r="115" spans="1:3">
      <c r="A115" s="598">
        <v>4</v>
      </c>
      <c r="B115" s="933" t="s">
        <v>933</v>
      </c>
      <c r="C115" s="934"/>
    </row>
    <row r="116" spans="1:3">
      <c r="A116" s="598">
        <v>5</v>
      </c>
      <c r="B116" s="602" t="s">
        <v>932</v>
      </c>
      <c r="C116" s="601"/>
    </row>
    <row r="117" spans="1:3">
      <c r="A117" s="598">
        <v>6</v>
      </c>
      <c r="B117" s="933" t="s">
        <v>946</v>
      </c>
      <c r="C117" s="934"/>
    </row>
    <row r="118" spans="1:3" ht="48.6" customHeight="1">
      <c r="A118" s="598">
        <v>7</v>
      </c>
      <c r="B118" s="933" t="s">
        <v>947</v>
      </c>
      <c r="C118" s="934"/>
    </row>
    <row r="119" spans="1:3">
      <c r="A119" s="572">
        <v>8</v>
      </c>
      <c r="B119" s="569" t="s">
        <v>634</v>
      </c>
      <c r="C119" s="595" t="s">
        <v>931</v>
      </c>
    </row>
    <row r="120" spans="1:3" ht="22.5">
      <c r="A120" s="598">
        <v>9.01</v>
      </c>
      <c r="B120" s="569" t="s">
        <v>518</v>
      </c>
      <c r="C120" s="582" t="s">
        <v>683</v>
      </c>
    </row>
    <row r="121" spans="1:3" ht="33.75">
      <c r="A121" s="598">
        <v>9.02</v>
      </c>
      <c r="B121" s="569" t="s">
        <v>519</v>
      </c>
      <c r="C121" s="582" t="s">
        <v>686</v>
      </c>
    </row>
    <row r="122" spans="1:3">
      <c r="A122" s="598">
        <v>9.0299999999999994</v>
      </c>
      <c r="B122" s="585" t="s">
        <v>868</v>
      </c>
      <c r="C122" s="585" t="s">
        <v>609</v>
      </c>
    </row>
    <row r="123" spans="1:3">
      <c r="A123" s="598">
        <v>9.0399999999999991</v>
      </c>
      <c r="B123" s="569" t="s">
        <v>520</v>
      </c>
      <c r="C123" s="585" t="s">
        <v>610</v>
      </c>
    </row>
    <row r="124" spans="1:3">
      <c r="A124" s="598">
        <v>9.0500000000000007</v>
      </c>
      <c r="B124" s="569" t="s">
        <v>521</v>
      </c>
      <c r="C124" s="585" t="s">
        <v>611</v>
      </c>
    </row>
    <row r="125" spans="1:3" ht="22.5">
      <c r="A125" s="598">
        <v>9.06</v>
      </c>
      <c r="B125" s="569" t="s">
        <v>522</v>
      </c>
      <c r="C125" s="585" t="s">
        <v>612</v>
      </c>
    </row>
    <row r="126" spans="1:3">
      <c r="A126" s="598">
        <v>9.07</v>
      </c>
      <c r="B126" s="600" t="s">
        <v>523</v>
      </c>
      <c r="C126" s="585" t="s">
        <v>613</v>
      </c>
    </row>
    <row r="127" spans="1:3" ht="22.5">
      <c r="A127" s="598">
        <v>9.08</v>
      </c>
      <c r="B127" s="569" t="s">
        <v>524</v>
      </c>
      <c r="C127" s="585" t="s">
        <v>614</v>
      </c>
    </row>
    <row r="128" spans="1:3" ht="22.5">
      <c r="A128" s="598">
        <v>9.09</v>
      </c>
      <c r="B128" s="569" t="s">
        <v>525</v>
      </c>
      <c r="C128" s="585" t="s">
        <v>615</v>
      </c>
    </row>
    <row r="129" spans="1:3">
      <c r="A129" s="599">
        <v>9.1</v>
      </c>
      <c r="B129" s="569" t="s">
        <v>526</v>
      </c>
      <c r="C129" s="585" t="s">
        <v>616</v>
      </c>
    </row>
    <row r="130" spans="1:3">
      <c r="A130" s="598">
        <v>9.11</v>
      </c>
      <c r="B130" s="569" t="s">
        <v>527</v>
      </c>
      <c r="C130" s="585" t="s">
        <v>617</v>
      </c>
    </row>
    <row r="131" spans="1:3">
      <c r="A131" s="598">
        <v>9.1199999999999992</v>
      </c>
      <c r="B131" s="569" t="s">
        <v>528</v>
      </c>
      <c r="C131" s="585" t="s">
        <v>618</v>
      </c>
    </row>
    <row r="132" spans="1:3">
      <c r="A132" s="598">
        <v>9.1300000000000008</v>
      </c>
      <c r="B132" s="569" t="s">
        <v>529</v>
      </c>
      <c r="C132" s="585" t="s">
        <v>619</v>
      </c>
    </row>
    <row r="133" spans="1:3">
      <c r="A133" s="598">
        <v>9.14</v>
      </c>
      <c r="B133" s="569" t="s">
        <v>530</v>
      </c>
      <c r="C133" s="585" t="s">
        <v>620</v>
      </c>
    </row>
    <row r="134" spans="1:3">
      <c r="A134" s="598">
        <v>9.15</v>
      </c>
      <c r="B134" s="569" t="s">
        <v>531</v>
      </c>
      <c r="C134" s="585" t="s">
        <v>621</v>
      </c>
    </row>
    <row r="135" spans="1:3" ht="22.5">
      <c r="A135" s="598">
        <v>9.16</v>
      </c>
      <c r="B135" s="569" t="s">
        <v>532</v>
      </c>
      <c r="C135" s="585" t="s">
        <v>622</v>
      </c>
    </row>
    <row r="136" spans="1:3">
      <c r="A136" s="598">
        <v>9.17</v>
      </c>
      <c r="B136" s="585" t="s">
        <v>533</v>
      </c>
      <c r="C136" s="585" t="s">
        <v>623</v>
      </c>
    </row>
    <row r="137" spans="1:3" ht="22.5">
      <c r="A137" s="598">
        <v>9.18</v>
      </c>
      <c r="B137" s="569" t="s">
        <v>534</v>
      </c>
      <c r="C137" s="585" t="s">
        <v>624</v>
      </c>
    </row>
    <row r="138" spans="1:3">
      <c r="A138" s="598">
        <v>9.19</v>
      </c>
      <c r="B138" s="569" t="s">
        <v>535</v>
      </c>
      <c r="C138" s="585" t="s">
        <v>625</v>
      </c>
    </row>
    <row r="139" spans="1:3">
      <c r="A139" s="599">
        <v>9.1999999999999993</v>
      </c>
      <c r="B139" s="569" t="s">
        <v>536</v>
      </c>
      <c r="C139" s="585" t="s">
        <v>626</v>
      </c>
    </row>
    <row r="140" spans="1:3">
      <c r="A140" s="598">
        <v>9.2100000000000009</v>
      </c>
      <c r="B140" s="569" t="s">
        <v>537</v>
      </c>
      <c r="C140" s="585" t="s">
        <v>627</v>
      </c>
    </row>
    <row r="141" spans="1:3">
      <c r="A141" s="598">
        <v>9.2200000000000006</v>
      </c>
      <c r="B141" s="569" t="s">
        <v>538</v>
      </c>
      <c r="C141" s="585" t="s">
        <v>628</v>
      </c>
    </row>
    <row r="142" spans="1:3" ht="22.5">
      <c r="A142" s="598">
        <v>9.23</v>
      </c>
      <c r="B142" s="569" t="s">
        <v>539</v>
      </c>
      <c r="C142" s="585" t="s">
        <v>629</v>
      </c>
    </row>
    <row r="143" spans="1:3" ht="22.5">
      <c r="A143" s="598">
        <v>9.24</v>
      </c>
      <c r="B143" s="569" t="s">
        <v>540</v>
      </c>
      <c r="C143" s="585" t="s">
        <v>630</v>
      </c>
    </row>
    <row r="144" spans="1:3">
      <c r="A144" s="598">
        <v>9.2500000000000107</v>
      </c>
      <c r="B144" s="569" t="s">
        <v>541</v>
      </c>
      <c r="C144" s="585" t="s">
        <v>631</v>
      </c>
    </row>
    <row r="145" spans="1:3" ht="22.5">
      <c r="A145" s="598">
        <v>9.2600000000000193</v>
      </c>
      <c r="B145" s="569" t="s">
        <v>632</v>
      </c>
      <c r="C145" s="597" t="s">
        <v>633</v>
      </c>
    </row>
    <row r="146" spans="1:3" s="392" customFormat="1" ht="22.5">
      <c r="A146" s="598">
        <v>9.2700000000000298</v>
      </c>
      <c r="B146" s="569" t="s">
        <v>99</v>
      </c>
      <c r="C146" s="597" t="s">
        <v>684</v>
      </c>
    </row>
    <row r="147" spans="1:3" s="392" customFormat="1">
      <c r="A147" s="573"/>
      <c r="B147" s="929" t="s">
        <v>635</v>
      </c>
      <c r="C147" s="930"/>
    </row>
    <row r="148" spans="1:3" s="392" customFormat="1">
      <c r="A148" s="572">
        <v>1</v>
      </c>
      <c r="B148" s="935" t="s">
        <v>930</v>
      </c>
      <c r="C148" s="936"/>
    </row>
    <row r="149" spans="1:3" s="392" customFormat="1">
      <c r="A149" s="572">
        <v>2</v>
      </c>
      <c r="B149" s="935" t="s">
        <v>685</v>
      </c>
      <c r="C149" s="936"/>
    </row>
    <row r="150" spans="1:3" s="392" customFormat="1">
      <c r="A150" s="572">
        <v>3</v>
      </c>
      <c r="B150" s="935" t="s">
        <v>682</v>
      </c>
      <c r="C150" s="936"/>
    </row>
    <row r="151" spans="1:3" s="392" customFormat="1">
      <c r="A151" s="573"/>
      <c r="B151" s="929" t="s">
        <v>636</v>
      </c>
      <c r="C151" s="930"/>
    </row>
    <row r="152" spans="1:3" s="392" customFormat="1">
      <c r="A152" s="572">
        <v>1</v>
      </c>
      <c r="B152" s="937" t="s">
        <v>929</v>
      </c>
      <c r="C152" s="938"/>
    </row>
    <row r="153" spans="1:3" s="392" customFormat="1">
      <c r="A153" s="572">
        <v>2</v>
      </c>
      <c r="B153" s="569" t="s">
        <v>866</v>
      </c>
      <c r="C153" s="595" t="s">
        <v>951</v>
      </c>
    </row>
    <row r="154" spans="1:3" ht="22.5">
      <c r="A154" s="572">
        <v>3</v>
      </c>
      <c r="B154" s="569" t="s">
        <v>865</v>
      </c>
      <c r="C154" s="595" t="s">
        <v>928</v>
      </c>
    </row>
    <row r="155" spans="1:3">
      <c r="A155" s="572">
        <v>4</v>
      </c>
      <c r="B155" s="569" t="s">
        <v>511</v>
      </c>
      <c r="C155" s="569" t="s">
        <v>952</v>
      </c>
    </row>
    <row r="156" spans="1:3" ht="25.35" customHeight="1">
      <c r="A156" s="573"/>
      <c r="B156" s="929" t="s">
        <v>637</v>
      </c>
      <c r="C156" s="930"/>
    </row>
    <row r="157" spans="1:3" ht="33.75">
      <c r="A157" s="572"/>
      <c r="B157" s="569" t="s">
        <v>917</v>
      </c>
      <c r="C157" s="574" t="s">
        <v>953</v>
      </c>
    </row>
    <row r="158" spans="1:3">
      <c r="A158" s="573"/>
      <c r="B158" s="929" t="s">
        <v>638</v>
      </c>
      <c r="C158" s="930"/>
    </row>
    <row r="159" spans="1:3" ht="39" customHeight="1">
      <c r="A159" s="573"/>
      <c r="B159" s="931" t="s">
        <v>927</v>
      </c>
      <c r="C159" s="932"/>
    </row>
    <row r="160" spans="1:3">
      <c r="A160" s="573" t="s">
        <v>639</v>
      </c>
      <c r="B160" s="596" t="s">
        <v>549</v>
      </c>
      <c r="C160" s="587" t="s">
        <v>640</v>
      </c>
    </row>
    <row r="161" spans="1:3">
      <c r="A161" s="573" t="s">
        <v>369</v>
      </c>
      <c r="B161" s="593" t="s">
        <v>550</v>
      </c>
      <c r="C161" s="595" t="s">
        <v>926</v>
      </c>
    </row>
    <row r="162" spans="1:3" ht="22.5">
      <c r="A162" s="573" t="s">
        <v>376</v>
      </c>
      <c r="B162" s="587" t="s">
        <v>551</v>
      </c>
      <c r="C162" s="595" t="s">
        <v>641</v>
      </c>
    </row>
    <row r="163" spans="1:3">
      <c r="A163" s="573" t="s">
        <v>642</v>
      </c>
      <c r="B163" s="593" t="s">
        <v>552</v>
      </c>
      <c r="C163" s="594" t="s">
        <v>643</v>
      </c>
    </row>
    <row r="164" spans="1:3" ht="22.5">
      <c r="A164" s="573" t="s">
        <v>644</v>
      </c>
      <c r="B164" s="593" t="s">
        <v>881</v>
      </c>
      <c r="C164" s="592" t="s">
        <v>925</v>
      </c>
    </row>
    <row r="165" spans="1:3" ht="22.5">
      <c r="A165" s="573" t="s">
        <v>377</v>
      </c>
      <c r="B165" s="593" t="s">
        <v>553</v>
      </c>
      <c r="C165" s="592" t="s">
        <v>646</v>
      </c>
    </row>
    <row r="166" spans="1:3" ht="22.5">
      <c r="A166" s="573" t="s">
        <v>645</v>
      </c>
      <c r="B166" s="590" t="s">
        <v>556</v>
      </c>
      <c r="C166" s="591" t="s">
        <v>653</v>
      </c>
    </row>
    <row r="167" spans="1:3" ht="22.5">
      <c r="A167" s="573" t="s">
        <v>647</v>
      </c>
      <c r="B167" s="590" t="s">
        <v>554</v>
      </c>
      <c r="C167" s="592" t="s">
        <v>649</v>
      </c>
    </row>
    <row r="168" spans="1:3" ht="26.85" customHeight="1">
      <c r="A168" s="573" t="s">
        <v>648</v>
      </c>
      <c r="B168" s="590" t="s">
        <v>555</v>
      </c>
      <c r="C168" s="591" t="s">
        <v>651</v>
      </c>
    </row>
    <row r="169" spans="1:3" ht="22.5">
      <c r="A169" s="573" t="s">
        <v>650</v>
      </c>
      <c r="B169" s="567" t="s">
        <v>557</v>
      </c>
      <c r="C169" s="591" t="s">
        <v>655</v>
      </c>
    </row>
    <row r="170" spans="1:3" ht="22.5">
      <c r="A170" s="573" t="s">
        <v>652</v>
      </c>
      <c r="B170" s="590" t="s">
        <v>558</v>
      </c>
      <c r="C170" s="589" t="s">
        <v>656</v>
      </c>
    </row>
    <row r="171" spans="1:3">
      <c r="A171" s="573" t="s">
        <v>654</v>
      </c>
      <c r="B171" s="588" t="s">
        <v>559</v>
      </c>
      <c r="C171" s="587" t="s">
        <v>657</v>
      </c>
    </row>
    <row r="172" spans="1:3" ht="22.5">
      <c r="A172" s="573"/>
      <c r="B172" s="586" t="s">
        <v>924</v>
      </c>
      <c r="C172" s="585" t="s">
        <v>658</v>
      </c>
    </row>
    <row r="173" spans="1:3" ht="22.5">
      <c r="A173" s="573"/>
      <c r="B173" s="586" t="s">
        <v>923</v>
      </c>
      <c r="C173" s="585" t="s">
        <v>659</v>
      </c>
    </row>
    <row r="174" spans="1:3" ht="22.5">
      <c r="A174" s="573"/>
      <c r="B174" s="586" t="s">
        <v>922</v>
      </c>
      <c r="C174" s="585" t="s">
        <v>660</v>
      </c>
    </row>
    <row r="175" spans="1:3">
      <c r="A175" s="573"/>
      <c r="B175" s="929" t="s">
        <v>661</v>
      </c>
      <c r="C175" s="930"/>
    </row>
    <row r="176" spans="1:3">
      <c r="A176" s="573"/>
      <c r="B176" s="935" t="s">
        <v>921</v>
      </c>
      <c r="C176" s="936"/>
    </row>
    <row r="177" spans="1:3">
      <c r="A177" s="572">
        <v>1</v>
      </c>
      <c r="B177" s="585" t="s">
        <v>563</v>
      </c>
      <c r="C177" s="585" t="s">
        <v>563</v>
      </c>
    </row>
    <row r="178" spans="1:3" ht="33.75">
      <c r="A178" s="572">
        <v>2</v>
      </c>
      <c r="B178" s="585" t="s">
        <v>662</v>
      </c>
      <c r="C178" s="585" t="s">
        <v>663</v>
      </c>
    </row>
    <row r="179" spans="1:3">
      <c r="A179" s="572">
        <v>3</v>
      </c>
      <c r="B179" s="585" t="s">
        <v>565</v>
      </c>
      <c r="C179" s="585" t="s">
        <v>664</v>
      </c>
    </row>
    <row r="180" spans="1:3" ht="22.5">
      <c r="A180" s="572">
        <v>4</v>
      </c>
      <c r="B180" s="585" t="s">
        <v>566</v>
      </c>
      <c r="C180" s="585" t="s">
        <v>665</v>
      </c>
    </row>
    <row r="181" spans="1:3" ht="22.5">
      <c r="A181" s="572">
        <v>5</v>
      </c>
      <c r="B181" s="585" t="s">
        <v>567</v>
      </c>
      <c r="C181" s="585" t="s">
        <v>687</v>
      </c>
    </row>
    <row r="182" spans="1:3" ht="45">
      <c r="A182" s="572">
        <v>6</v>
      </c>
      <c r="B182" s="585" t="s">
        <v>568</v>
      </c>
      <c r="C182" s="585" t="s">
        <v>666</v>
      </c>
    </row>
    <row r="183" spans="1:3">
      <c r="A183" s="573"/>
      <c r="B183" s="929" t="s">
        <v>667</v>
      </c>
      <c r="C183" s="930"/>
    </row>
    <row r="184" spans="1:3">
      <c r="A184" s="573"/>
      <c r="B184" s="940" t="s">
        <v>920</v>
      </c>
      <c r="C184" s="941"/>
    </row>
    <row r="185" spans="1:3" ht="22.5">
      <c r="A185" s="573">
        <v>1.1000000000000001</v>
      </c>
      <c r="B185" s="584" t="s">
        <v>573</v>
      </c>
      <c r="C185" s="582" t="s">
        <v>668</v>
      </c>
    </row>
    <row r="186" spans="1:3" ht="50.1" customHeight="1">
      <c r="A186" s="573" t="s">
        <v>157</v>
      </c>
      <c r="B186" s="568" t="s">
        <v>574</v>
      </c>
      <c r="C186" s="582" t="s">
        <v>669</v>
      </c>
    </row>
    <row r="187" spans="1:3">
      <c r="A187" s="573" t="s">
        <v>575</v>
      </c>
      <c r="B187" s="583" t="s">
        <v>576</v>
      </c>
      <c r="C187" s="942" t="s">
        <v>919</v>
      </c>
    </row>
    <row r="188" spans="1:3">
      <c r="A188" s="573" t="s">
        <v>577</v>
      </c>
      <c r="B188" s="583" t="s">
        <v>578</v>
      </c>
      <c r="C188" s="942"/>
    </row>
    <row r="189" spans="1:3">
      <c r="A189" s="573" t="s">
        <v>579</v>
      </c>
      <c r="B189" s="583" t="s">
        <v>580</v>
      </c>
      <c r="C189" s="942"/>
    </row>
    <row r="190" spans="1:3">
      <c r="A190" s="573" t="s">
        <v>581</v>
      </c>
      <c r="B190" s="583" t="s">
        <v>582</v>
      </c>
      <c r="C190" s="942"/>
    </row>
    <row r="191" spans="1:3" ht="25.5" customHeight="1">
      <c r="A191" s="573">
        <v>1.2</v>
      </c>
      <c r="B191" s="581" t="s">
        <v>895</v>
      </c>
      <c r="C191" s="566" t="s">
        <v>954</v>
      </c>
    </row>
    <row r="192" spans="1:3" ht="22.5">
      <c r="A192" s="573" t="s">
        <v>584</v>
      </c>
      <c r="B192" s="576" t="s">
        <v>585</v>
      </c>
      <c r="C192" s="579" t="s">
        <v>670</v>
      </c>
    </row>
    <row r="193" spans="1:4" ht="22.5">
      <c r="A193" s="573" t="s">
        <v>586</v>
      </c>
      <c r="B193" s="580" t="s">
        <v>587</v>
      </c>
      <c r="C193" s="579" t="s">
        <v>671</v>
      </c>
    </row>
    <row r="194" spans="1:4" ht="26.1" customHeight="1">
      <c r="A194" s="573" t="s">
        <v>588</v>
      </c>
      <c r="B194" s="578" t="s">
        <v>589</v>
      </c>
      <c r="C194" s="566" t="s">
        <v>672</v>
      </c>
    </row>
    <row r="195" spans="1:4" ht="22.5">
      <c r="A195" s="573" t="s">
        <v>590</v>
      </c>
      <c r="B195" s="577" t="s">
        <v>591</v>
      </c>
      <c r="C195" s="566" t="s">
        <v>673</v>
      </c>
      <c r="D195" s="393"/>
    </row>
    <row r="196" spans="1:4" ht="22.5">
      <c r="A196" s="573">
        <v>1.4</v>
      </c>
      <c r="B196" s="576" t="s">
        <v>680</v>
      </c>
      <c r="C196" s="575" t="s">
        <v>674</v>
      </c>
      <c r="D196" s="394"/>
    </row>
    <row r="197" spans="1:4" ht="12.75">
      <c r="A197" s="573">
        <v>1.5</v>
      </c>
      <c r="B197" s="576" t="s">
        <v>681</v>
      </c>
      <c r="C197" s="575" t="s">
        <v>674</v>
      </c>
      <c r="D197" s="395"/>
    </row>
    <row r="198" spans="1:4" ht="12.75">
      <c r="A198" s="573"/>
      <c r="B198" s="943" t="s">
        <v>675</v>
      </c>
      <c r="C198" s="943"/>
      <c r="D198" s="395"/>
    </row>
    <row r="199" spans="1:4" ht="12.75">
      <c r="A199" s="573"/>
      <c r="B199" s="940" t="s">
        <v>918</v>
      </c>
      <c r="C199" s="940"/>
      <c r="D199" s="395"/>
    </row>
    <row r="200" spans="1:4" ht="12.75">
      <c r="A200" s="572"/>
      <c r="B200" s="569" t="s">
        <v>917</v>
      </c>
      <c r="C200" s="574" t="s">
        <v>951</v>
      </c>
      <c r="D200" s="395"/>
    </row>
    <row r="201" spans="1:4" ht="12.75">
      <c r="A201" s="573"/>
      <c r="B201" s="943" t="s">
        <v>676</v>
      </c>
      <c r="C201" s="943"/>
      <c r="D201" s="396"/>
    </row>
    <row r="202" spans="1:4" ht="12.75">
      <c r="A202" s="572"/>
      <c r="B202" s="944" t="s">
        <v>916</v>
      </c>
      <c r="C202" s="944"/>
      <c r="D202" s="397"/>
    </row>
    <row r="203" spans="1:4" ht="12.75">
      <c r="B203" s="943" t="s">
        <v>714</v>
      </c>
      <c r="C203" s="943"/>
      <c r="D203" s="398"/>
    </row>
    <row r="204" spans="1:4" ht="22.5">
      <c r="A204" s="568">
        <v>1</v>
      </c>
      <c r="B204" s="569" t="s">
        <v>690</v>
      </c>
      <c r="C204" s="566" t="s">
        <v>702</v>
      </c>
      <c r="D204" s="397"/>
    </row>
    <row r="205" spans="1:4" ht="18" customHeight="1">
      <c r="A205" s="568">
        <v>2</v>
      </c>
      <c r="B205" s="569" t="s">
        <v>691</v>
      </c>
      <c r="C205" s="566" t="s">
        <v>703</v>
      </c>
      <c r="D205" s="398"/>
    </row>
    <row r="206" spans="1:4" ht="22.5">
      <c r="A206" s="568">
        <v>3</v>
      </c>
      <c r="B206" s="569" t="s">
        <v>692</v>
      </c>
      <c r="C206" s="569" t="s">
        <v>704</v>
      </c>
      <c r="D206" s="399"/>
    </row>
    <row r="207" spans="1:4" ht="12.75">
      <c r="A207" s="568">
        <v>4</v>
      </c>
      <c r="B207" s="569" t="s">
        <v>693</v>
      </c>
      <c r="C207" s="569" t="s">
        <v>705</v>
      </c>
      <c r="D207" s="399"/>
    </row>
    <row r="208" spans="1:4" ht="22.5">
      <c r="A208" s="568">
        <v>5</v>
      </c>
      <c r="B208" s="569" t="s">
        <v>694</v>
      </c>
      <c r="C208" s="569" t="s">
        <v>706</v>
      </c>
    </row>
    <row r="209" spans="1:3" ht="24.6" customHeight="1">
      <c r="A209" s="568">
        <v>6</v>
      </c>
      <c r="B209" s="569" t="s">
        <v>695</v>
      </c>
      <c r="C209" s="569" t="s">
        <v>707</v>
      </c>
    </row>
    <row r="210" spans="1:3" ht="22.5">
      <c r="A210" s="568">
        <v>7</v>
      </c>
      <c r="B210" s="569" t="s">
        <v>696</v>
      </c>
      <c r="C210" s="569" t="s">
        <v>708</v>
      </c>
    </row>
    <row r="211" spans="1:3">
      <c r="A211" s="568">
        <v>7.1</v>
      </c>
      <c r="B211" s="571" t="s">
        <v>697</v>
      </c>
      <c r="C211" s="569" t="s">
        <v>709</v>
      </c>
    </row>
    <row r="212" spans="1:3" ht="22.5">
      <c r="A212" s="568">
        <v>7.2</v>
      </c>
      <c r="B212" s="571" t="s">
        <v>698</v>
      </c>
      <c r="C212" s="569" t="s">
        <v>710</v>
      </c>
    </row>
    <row r="213" spans="1:3">
      <c r="A213" s="568">
        <v>7.3</v>
      </c>
      <c r="B213" s="570" t="s">
        <v>699</v>
      </c>
      <c r="C213" s="569" t="s">
        <v>711</v>
      </c>
    </row>
    <row r="214" spans="1:3" ht="39.6" customHeight="1">
      <c r="A214" s="568">
        <v>8</v>
      </c>
      <c r="B214" s="569" t="s">
        <v>700</v>
      </c>
      <c r="C214" s="566" t="s">
        <v>712</v>
      </c>
    </row>
    <row r="215" spans="1:3">
      <c r="A215" s="568">
        <v>9</v>
      </c>
      <c r="B215" s="569" t="s">
        <v>701</v>
      </c>
      <c r="C215" s="566" t="s">
        <v>713</v>
      </c>
    </row>
    <row r="216" spans="1:3" ht="22.5">
      <c r="A216" s="611">
        <v>10.1</v>
      </c>
      <c r="B216" s="612" t="s">
        <v>721</v>
      </c>
      <c r="C216" s="603" t="s">
        <v>722</v>
      </c>
    </row>
    <row r="217" spans="1:3">
      <c r="A217" s="945"/>
      <c r="B217" s="613" t="s">
        <v>908</v>
      </c>
      <c r="C217" s="566" t="s">
        <v>915</v>
      </c>
    </row>
    <row r="218" spans="1:3">
      <c r="A218" s="945"/>
      <c r="B218" s="567" t="s">
        <v>572</v>
      </c>
      <c r="C218" s="566" t="s">
        <v>914</v>
      </c>
    </row>
    <row r="219" spans="1:3">
      <c r="A219" s="945"/>
      <c r="B219" s="567" t="s">
        <v>907</v>
      </c>
      <c r="C219" s="566" t="s">
        <v>955</v>
      </c>
    </row>
    <row r="220" spans="1:3">
      <c r="A220" s="945"/>
      <c r="B220" s="567" t="s">
        <v>715</v>
      </c>
      <c r="C220" s="566" t="s">
        <v>913</v>
      </c>
    </row>
    <row r="221" spans="1:3" ht="22.5">
      <c r="A221" s="945"/>
      <c r="B221" s="567" t="s">
        <v>719</v>
      </c>
      <c r="C221" s="582" t="s">
        <v>912</v>
      </c>
    </row>
    <row r="222" spans="1:3" ht="33.75">
      <c r="A222" s="945"/>
      <c r="B222" s="567" t="s">
        <v>718</v>
      </c>
      <c r="C222" s="566" t="s">
        <v>911</v>
      </c>
    </row>
    <row r="223" spans="1:3">
      <c r="A223" s="945"/>
      <c r="B223" s="567" t="s">
        <v>956</v>
      </c>
      <c r="C223" s="566" t="s">
        <v>910</v>
      </c>
    </row>
    <row r="224" spans="1:3" ht="22.5">
      <c r="A224" s="945"/>
      <c r="B224" s="567" t="s">
        <v>957</v>
      </c>
      <c r="C224" s="566" t="s">
        <v>909</v>
      </c>
    </row>
    <row r="225" spans="1:3" ht="12.75">
      <c r="A225" s="604"/>
      <c r="B225" s="605"/>
      <c r="C225" s="606"/>
    </row>
    <row r="226" spans="1:3" ht="12.75">
      <c r="A226" s="604"/>
      <c r="B226" s="606"/>
      <c r="C226" s="607"/>
    </row>
    <row r="227" spans="1:3" ht="12.75">
      <c r="A227" s="604"/>
      <c r="B227" s="606"/>
      <c r="C227" s="607"/>
    </row>
    <row r="228" spans="1:3" ht="12.75">
      <c r="A228" s="604"/>
      <c r="B228" s="608"/>
      <c r="C228" s="607"/>
    </row>
    <row r="229" spans="1:3" ht="12.75">
      <c r="A229" s="939"/>
      <c r="B229" s="609"/>
      <c r="C229" s="607"/>
    </row>
    <row r="230" spans="1:3" ht="12.75">
      <c r="A230" s="939"/>
      <c r="B230" s="609"/>
      <c r="C230" s="607"/>
    </row>
    <row r="231" spans="1:3" ht="12.75">
      <c r="A231" s="939"/>
      <c r="B231" s="609"/>
      <c r="C231" s="607"/>
    </row>
    <row r="232" spans="1:3" ht="12.75">
      <c r="A232" s="939"/>
      <c r="B232" s="609"/>
      <c r="C232" s="610"/>
    </row>
    <row r="233" spans="1:3" ht="40.5" customHeight="1">
      <c r="A233" s="939"/>
      <c r="B233" s="609"/>
      <c r="C233" s="607"/>
    </row>
    <row r="234" spans="1:3" ht="24" customHeight="1">
      <c r="A234" s="939"/>
      <c r="B234" s="609"/>
      <c r="C234" s="607"/>
    </row>
    <row r="235" spans="1:3" ht="12.75">
      <c r="A235" s="939"/>
      <c r="B235" s="609"/>
      <c r="C235" s="607"/>
    </row>
  </sheetData>
  <mergeCells count="131">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8:C68"/>
    <mergeCell ref="B69:C69"/>
    <mergeCell ref="B70:C70"/>
    <mergeCell ref="B71:C71"/>
    <mergeCell ref="B60:C60"/>
    <mergeCell ref="B61:C61"/>
    <mergeCell ref="B62:C62"/>
    <mergeCell ref="B63:C63"/>
    <mergeCell ref="A64:C64"/>
    <mergeCell ref="B65:C65"/>
    <mergeCell ref="B78:C78"/>
    <mergeCell ref="A79:C79"/>
    <mergeCell ref="B80:C80"/>
    <mergeCell ref="B81:C81"/>
    <mergeCell ref="B82:C82"/>
    <mergeCell ref="B83:C83"/>
    <mergeCell ref="B72:C72"/>
    <mergeCell ref="B73:C73"/>
    <mergeCell ref="B74:C74"/>
    <mergeCell ref="A75:C75"/>
    <mergeCell ref="B76:C76"/>
    <mergeCell ref="B77:C77"/>
    <mergeCell ref="B90:C90"/>
    <mergeCell ref="B91:C91"/>
    <mergeCell ref="B92:C92"/>
    <mergeCell ref="B93:C93"/>
    <mergeCell ref="B94:C94"/>
    <mergeCell ref="A95:C95"/>
    <mergeCell ref="B84:C84"/>
    <mergeCell ref="B85:C85"/>
    <mergeCell ref="B86:C86"/>
    <mergeCell ref="A87:C87"/>
    <mergeCell ref="B88:C88"/>
    <mergeCell ref="B89:C89"/>
    <mergeCell ref="B109:C109"/>
    <mergeCell ref="A110:C110"/>
    <mergeCell ref="A111:C111"/>
    <mergeCell ref="B112:C112"/>
    <mergeCell ref="B113:C113"/>
    <mergeCell ref="B114:C114"/>
    <mergeCell ref="A96:C96"/>
    <mergeCell ref="A104:C104"/>
    <mergeCell ref="B105:C105"/>
    <mergeCell ref="A106:C106"/>
    <mergeCell ref="B107:C107"/>
    <mergeCell ref="B108:C108"/>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8"/>
  <sheetViews>
    <sheetView topLeftCell="A2" zoomScale="70" zoomScaleNormal="70" workbookViewId="0">
      <selection activeCell="C2" sqref="C2"/>
    </sheetView>
  </sheetViews>
  <sheetFormatPr defaultRowHeight="15"/>
  <cols>
    <col min="2" max="2" width="66.7109375" customWidth="1"/>
    <col min="3" max="8" width="17.7109375" customWidth="1"/>
  </cols>
  <sheetData>
    <row r="1" spans="1:8" ht="15.75">
      <c r="A1" s="17" t="s">
        <v>108</v>
      </c>
      <c r="B1" s="306" t="str">
        <f>Info!C2</f>
        <v>JSC "VTB Bank (Georgia)"</v>
      </c>
      <c r="C1" s="16"/>
      <c r="D1" s="227"/>
      <c r="E1" s="227"/>
      <c r="F1" s="227"/>
      <c r="G1" s="227"/>
    </row>
    <row r="2" spans="1:8" ht="15.75">
      <c r="A2" s="17" t="s">
        <v>109</v>
      </c>
      <c r="B2" s="337">
        <f>Info!D2</f>
        <v>45565</v>
      </c>
      <c r="C2" s="29"/>
      <c r="D2" s="18"/>
      <c r="E2" s="18"/>
      <c r="F2" s="18"/>
      <c r="G2" s="18"/>
      <c r="H2" s="1"/>
    </row>
    <row r="3" spans="1:8" ht="15.75">
      <c r="A3" s="17"/>
      <c r="B3" s="16"/>
      <c r="C3" s="29"/>
      <c r="D3" s="18"/>
      <c r="E3" s="18"/>
      <c r="F3" s="18"/>
      <c r="G3" s="18"/>
      <c r="H3" s="1"/>
    </row>
    <row r="4" spans="1:8">
      <c r="A4" s="823" t="s">
        <v>25</v>
      </c>
      <c r="B4" s="821" t="s">
        <v>166</v>
      </c>
      <c r="C4" s="816" t="s">
        <v>114</v>
      </c>
      <c r="D4" s="816"/>
      <c r="E4" s="816"/>
      <c r="F4" s="816" t="s">
        <v>115</v>
      </c>
      <c r="G4" s="816"/>
      <c r="H4" s="817"/>
    </row>
    <row r="5" spans="1:8" ht="15.6" customHeight="1">
      <c r="A5" s="824"/>
      <c r="B5" s="822"/>
      <c r="C5" s="431" t="s">
        <v>26</v>
      </c>
      <c r="D5" s="431" t="s">
        <v>88</v>
      </c>
      <c r="E5" s="431" t="s">
        <v>66</v>
      </c>
      <c r="F5" s="431" t="s">
        <v>26</v>
      </c>
      <c r="G5" s="431" t="s">
        <v>88</v>
      </c>
      <c r="H5" s="431" t="s">
        <v>66</v>
      </c>
    </row>
    <row r="6" spans="1:8">
      <c r="A6" s="458">
        <v>1</v>
      </c>
      <c r="B6" s="432" t="s">
        <v>776</v>
      </c>
      <c r="C6" s="696">
        <v>7742474.0527200969</v>
      </c>
      <c r="D6" s="696">
        <v>5141604.4840352098</v>
      </c>
      <c r="E6" s="675">
        <f>C6+D6</f>
        <v>12884078.536755307</v>
      </c>
      <c r="F6" s="696">
        <v>13436328.864257053</v>
      </c>
      <c r="G6" s="696">
        <v>3517831</v>
      </c>
      <c r="H6" s="675">
        <f>F6+G6</f>
        <v>16954159.864257053</v>
      </c>
    </row>
    <row r="7" spans="1:8">
      <c r="A7" s="458">
        <v>1.1000000000000001</v>
      </c>
      <c r="B7" s="433" t="s">
        <v>730</v>
      </c>
      <c r="C7" s="696"/>
      <c r="D7" s="696"/>
      <c r="E7" s="675">
        <f t="shared" ref="E7:E45" si="0">C7+D7</f>
        <v>0</v>
      </c>
      <c r="F7" s="696"/>
      <c r="G7" s="696"/>
      <c r="H7" s="675">
        <f t="shared" ref="H7:H45" si="1">F7+G7</f>
        <v>0</v>
      </c>
    </row>
    <row r="8" spans="1:8" ht="21">
      <c r="A8" s="458">
        <v>1.2</v>
      </c>
      <c r="B8" s="433" t="s">
        <v>777</v>
      </c>
      <c r="C8" s="696">
        <v>0</v>
      </c>
      <c r="D8" s="696"/>
      <c r="E8" s="675">
        <f t="shared" si="0"/>
        <v>0</v>
      </c>
      <c r="F8" s="696">
        <v>172436.42999999993</v>
      </c>
      <c r="G8" s="696"/>
      <c r="H8" s="675">
        <f t="shared" si="1"/>
        <v>172436.42999999993</v>
      </c>
    </row>
    <row r="9" spans="1:8" ht="21.6" customHeight="1">
      <c r="A9" s="458">
        <v>1.3</v>
      </c>
      <c r="B9" s="427" t="s">
        <v>778</v>
      </c>
      <c r="C9" s="696"/>
      <c r="D9" s="696"/>
      <c r="E9" s="675">
        <f t="shared" si="0"/>
        <v>0</v>
      </c>
      <c r="F9" s="696"/>
      <c r="G9" s="696"/>
      <c r="H9" s="675">
        <f t="shared" si="1"/>
        <v>0</v>
      </c>
    </row>
    <row r="10" spans="1:8" ht="21">
      <c r="A10" s="458">
        <v>1.4</v>
      </c>
      <c r="B10" s="427" t="s">
        <v>734</v>
      </c>
      <c r="C10" s="696"/>
      <c r="D10" s="696"/>
      <c r="E10" s="675">
        <f t="shared" si="0"/>
        <v>0</v>
      </c>
      <c r="F10" s="696"/>
      <c r="G10" s="696"/>
      <c r="H10" s="675">
        <f t="shared" si="1"/>
        <v>0</v>
      </c>
    </row>
    <row r="11" spans="1:8">
      <c r="A11" s="458">
        <v>1.5</v>
      </c>
      <c r="B11" s="427" t="s">
        <v>737</v>
      </c>
      <c r="C11" s="696">
        <v>7742474.0527200969</v>
      </c>
      <c r="D11" s="696">
        <v>5141604.4840352098</v>
      </c>
      <c r="E11" s="675">
        <f t="shared" si="0"/>
        <v>12884078.536755307</v>
      </c>
      <c r="F11" s="696">
        <v>13263892.434257053</v>
      </c>
      <c r="G11" s="696">
        <v>3517831</v>
      </c>
      <c r="H11" s="675">
        <f t="shared" si="1"/>
        <v>16781723.434257053</v>
      </c>
    </row>
    <row r="12" spans="1:8">
      <c r="A12" s="458">
        <v>1.6</v>
      </c>
      <c r="B12" s="434" t="s">
        <v>99</v>
      </c>
      <c r="C12" s="696"/>
      <c r="D12" s="696"/>
      <c r="E12" s="675">
        <f t="shared" si="0"/>
        <v>0</v>
      </c>
      <c r="F12" s="696"/>
      <c r="G12" s="696"/>
      <c r="H12" s="675">
        <f t="shared" si="1"/>
        <v>0</v>
      </c>
    </row>
    <row r="13" spans="1:8">
      <c r="A13" s="458">
        <v>2</v>
      </c>
      <c r="B13" s="435" t="s">
        <v>779</v>
      </c>
      <c r="C13" s="696">
        <v>-876969.67</v>
      </c>
      <c r="D13" s="696">
        <v>-6295027.3399999999</v>
      </c>
      <c r="E13" s="675">
        <f t="shared" si="0"/>
        <v>-7171997.0099999998</v>
      </c>
      <c r="F13" s="696">
        <v>-1249379</v>
      </c>
      <c r="G13" s="696">
        <v>-6556764</v>
      </c>
      <c r="H13" s="675">
        <f t="shared" si="1"/>
        <v>-7806143</v>
      </c>
    </row>
    <row r="14" spans="1:8">
      <c r="A14" s="458">
        <v>2.1</v>
      </c>
      <c r="B14" s="427" t="s">
        <v>780</v>
      </c>
      <c r="C14" s="696"/>
      <c r="D14" s="696"/>
      <c r="E14" s="675">
        <f t="shared" si="0"/>
        <v>0</v>
      </c>
      <c r="F14" s="696"/>
      <c r="G14" s="696"/>
      <c r="H14" s="675">
        <f t="shared" si="1"/>
        <v>0</v>
      </c>
    </row>
    <row r="15" spans="1:8" ht="24.6" customHeight="1">
      <c r="A15" s="458">
        <v>2.2000000000000002</v>
      </c>
      <c r="B15" s="427" t="s">
        <v>781</v>
      </c>
      <c r="C15" s="696"/>
      <c r="D15" s="696"/>
      <c r="E15" s="675">
        <f t="shared" si="0"/>
        <v>0</v>
      </c>
      <c r="F15" s="696"/>
      <c r="G15" s="696"/>
      <c r="H15" s="675">
        <f t="shared" si="1"/>
        <v>0</v>
      </c>
    </row>
    <row r="16" spans="1:8" ht="20.85" customHeight="1">
      <c r="A16" s="458">
        <v>2.2999999999999998</v>
      </c>
      <c r="B16" s="427" t="s">
        <v>782</v>
      </c>
      <c r="C16" s="696">
        <v>-876969.67</v>
      </c>
      <c r="D16" s="696">
        <v>-6295027.3399999999</v>
      </c>
      <c r="E16" s="675">
        <f t="shared" si="0"/>
        <v>-7171997.0099999998</v>
      </c>
      <c r="F16" s="696">
        <v>-1249379</v>
      </c>
      <c r="G16" s="696">
        <v>-6556764</v>
      </c>
      <c r="H16" s="675">
        <f t="shared" si="1"/>
        <v>-7806143</v>
      </c>
    </row>
    <row r="17" spans="1:8">
      <c r="A17" s="458">
        <v>2.4</v>
      </c>
      <c r="B17" s="427" t="s">
        <v>783</v>
      </c>
      <c r="C17" s="696"/>
      <c r="D17" s="696">
        <v>0</v>
      </c>
      <c r="E17" s="675">
        <f t="shared" si="0"/>
        <v>0</v>
      </c>
      <c r="F17" s="696">
        <v>0</v>
      </c>
      <c r="G17" s="696">
        <v>0</v>
      </c>
      <c r="H17" s="675">
        <f t="shared" si="1"/>
        <v>0</v>
      </c>
    </row>
    <row r="18" spans="1:8">
      <c r="A18" s="458">
        <v>3</v>
      </c>
      <c r="B18" s="435" t="s">
        <v>784</v>
      </c>
      <c r="C18" s="696"/>
      <c r="D18" s="696"/>
      <c r="E18" s="675">
        <f t="shared" si="0"/>
        <v>0</v>
      </c>
      <c r="F18" s="696"/>
      <c r="G18" s="696"/>
      <c r="H18" s="675">
        <f t="shared" si="1"/>
        <v>0</v>
      </c>
    </row>
    <row r="19" spans="1:8">
      <c r="A19" s="458">
        <v>4</v>
      </c>
      <c r="B19" s="435" t="s">
        <v>785</v>
      </c>
      <c r="C19" s="696">
        <v>33597.51</v>
      </c>
      <c r="D19" s="696">
        <v>0</v>
      </c>
      <c r="E19" s="675">
        <f t="shared" si="0"/>
        <v>33597.51</v>
      </c>
      <c r="F19" s="696">
        <v>63936.37</v>
      </c>
      <c r="G19" s="696"/>
      <c r="H19" s="675">
        <f t="shared" si="1"/>
        <v>63936.37</v>
      </c>
    </row>
    <row r="20" spans="1:8">
      <c r="A20" s="458">
        <v>5</v>
      </c>
      <c r="B20" s="435" t="s">
        <v>786</v>
      </c>
      <c r="C20" s="696">
        <v>-11971.99</v>
      </c>
      <c r="D20" s="696">
        <v>0</v>
      </c>
      <c r="E20" s="675">
        <f t="shared" si="0"/>
        <v>-11971.99</v>
      </c>
      <c r="F20" s="696">
        <v>-25341.42</v>
      </c>
      <c r="G20" s="696"/>
      <c r="H20" s="675">
        <f t="shared" si="1"/>
        <v>-25341.42</v>
      </c>
    </row>
    <row r="21" spans="1:8" ht="38.85" customHeight="1">
      <c r="A21" s="458">
        <v>6</v>
      </c>
      <c r="B21" s="435" t="s">
        <v>787</v>
      </c>
      <c r="C21" s="696">
        <v>0</v>
      </c>
      <c r="D21" s="696">
        <v>0</v>
      </c>
      <c r="E21" s="675">
        <f t="shared" si="0"/>
        <v>0</v>
      </c>
      <c r="F21" s="696">
        <v>0</v>
      </c>
      <c r="G21" s="696"/>
      <c r="H21" s="675">
        <f t="shared" si="1"/>
        <v>0</v>
      </c>
    </row>
    <row r="22" spans="1:8" ht="27.6" customHeight="1">
      <c r="A22" s="458">
        <v>7</v>
      </c>
      <c r="B22" s="435" t="s">
        <v>788</v>
      </c>
      <c r="C22" s="696"/>
      <c r="D22" s="696"/>
      <c r="E22" s="675">
        <f t="shared" si="0"/>
        <v>0</v>
      </c>
      <c r="F22" s="696"/>
      <c r="G22" s="696"/>
      <c r="H22" s="675">
        <f t="shared" si="1"/>
        <v>0</v>
      </c>
    </row>
    <row r="23" spans="1:8" ht="37.35" customHeight="1">
      <c r="A23" s="458">
        <v>8</v>
      </c>
      <c r="B23" s="436" t="s">
        <v>789</v>
      </c>
      <c r="C23" s="696"/>
      <c r="D23" s="696"/>
      <c r="E23" s="675">
        <f t="shared" si="0"/>
        <v>0</v>
      </c>
      <c r="F23" s="696"/>
      <c r="G23" s="696"/>
      <c r="H23" s="675">
        <f t="shared" si="1"/>
        <v>0</v>
      </c>
    </row>
    <row r="24" spans="1:8" ht="34.5" customHeight="1">
      <c r="A24" s="458">
        <v>9</v>
      </c>
      <c r="B24" s="436" t="s">
        <v>790</v>
      </c>
      <c r="C24" s="696"/>
      <c r="D24" s="696"/>
      <c r="E24" s="675">
        <f t="shared" si="0"/>
        <v>0</v>
      </c>
      <c r="F24" s="696">
        <v>0</v>
      </c>
      <c r="G24" s="696"/>
      <c r="H24" s="675">
        <f t="shared" si="1"/>
        <v>0</v>
      </c>
    </row>
    <row r="25" spans="1:8">
      <c r="A25" s="458">
        <v>10</v>
      </c>
      <c r="B25" s="435" t="s">
        <v>791</v>
      </c>
      <c r="C25" s="696">
        <v>5326306.6326399148</v>
      </c>
      <c r="D25" s="696">
        <v>0</v>
      </c>
      <c r="E25" s="675">
        <f t="shared" si="0"/>
        <v>5326306.6326399148</v>
      </c>
      <c r="F25" s="696">
        <v>28958001.62904568</v>
      </c>
      <c r="G25" s="696"/>
      <c r="H25" s="675">
        <f t="shared" si="1"/>
        <v>28958001.62904568</v>
      </c>
    </row>
    <row r="26" spans="1:8" ht="27" customHeight="1">
      <c r="A26" s="458">
        <v>11</v>
      </c>
      <c r="B26" s="437" t="s">
        <v>792</v>
      </c>
      <c r="C26" s="696">
        <v>2778.58</v>
      </c>
      <c r="D26" s="696">
        <v>0</v>
      </c>
      <c r="E26" s="675">
        <f t="shared" si="0"/>
        <v>2778.58</v>
      </c>
      <c r="F26" s="696">
        <v>27618.130000000034</v>
      </c>
      <c r="G26" s="696"/>
      <c r="H26" s="675">
        <f t="shared" si="1"/>
        <v>27618.130000000034</v>
      </c>
    </row>
    <row r="27" spans="1:8">
      <c r="A27" s="458">
        <v>12</v>
      </c>
      <c r="B27" s="435" t="s">
        <v>793</v>
      </c>
      <c r="C27" s="696">
        <v>10490.54</v>
      </c>
      <c r="D27" s="696">
        <v>0</v>
      </c>
      <c r="E27" s="675">
        <f t="shared" si="0"/>
        <v>10490.54</v>
      </c>
      <c r="F27" s="696">
        <v>1863304.1011000001</v>
      </c>
      <c r="G27" s="696"/>
      <c r="H27" s="675">
        <f t="shared" si="1"/>
        <v>1863304.1011000001</v>
      </c>
    </row>
    <row r="28" spans="1:8">
      <c r="A28" s="458">
        <v>13</v>
      </c>
      <c r="B28" s="438" t="s">
        <v>794</v>
      </c>
      <c r="C28" s="696">
        <v>-2713231.1399999997</v>
      </c>
      <c r="D28" s="696">
        <v>0</v>
      </c>
      <c r="E28" s="675">
        <f t="shared" si="0"/>
        <v>-2713231.1399999997</v>
      </c>
      <c r="F28" s="696">
        <v>-21196636.090000004</v>
      </c>
      <c r="G28" s="696"/>
      <c r="H28" s="675">
        <f t="shared" si="1"/>
        <v>-21196636.090000004</v>
      </c>
    </row>
    <row r="29" spans="1:8">
      <c r="A29" s="458">
        <v>14</v>
      </c>
      <c r="B29" s="439" t="s">
        <v>795</v>
      </c>
      <c r="C29" s="696">
        <v>-5557323</v>
      </c>
      <c r="D29" s="696">
        <v>0</v>
      </c>
      <c r="E29" s="675">
        <f t="shared" si="0"/>
        <v>-5557323</v>
      </c>
      <c r="F29" s="696">
        <v>-7027946</v>
      </c>
      <c r="G29" s="696">
        <v>0</v>
      </c>
      <c r="H29" s="675">
        <f t="shared" si="1"/>
        <v>-7027946</v>
      </c>
    </row>
    <row r="30" spans="1:8">
      <c r="A30" s="458">
        <v>14.1</v>
      </c>
      <c r="B30" s="412" t="s">
        <v>796</v>
      </c>
      <c r="C30" s="696">
        <v>-5557323</v>
      </c>
      <c r="D30" s="696">
        <v>0</v>
      </c>
      <c r="E30" s="675">
        <f t="shared" si="0"/>
        <v>-5557323</v>
      </c>
      <c r="F30" s="696">
        <v>-7027946</v>
      </c>
      <c r="G30" s="696"/>
      <c r="H30" s="675">
        <f t="shared" si="1"/>
        <v>-7027946</v>
      </c>
    </row>
    <row r="31" spans="1:8">
      <c r="A31" s="458">
        <v>14.2</v>
      </c>
      <c r="B31" s="412" t="s">
        <v>797</v>
      </c>
      <c r="C31" s="696">
        <v>0</v>
      </c>
      <c r="D31" s="696"/>
      <c r="E31" s="675">
        <f t="shared" si="0"/>
        <v>0</v>
      </c>
      <c r="F31" s="696">
        <v>0</v>
      </c>
      <c r="G31" s="696"/>
      <c r="H31" s="675">
        <f t="shared" si="1"/>
        <v>0</v>
      </c>
    </row>
    <row r="32" spans="1:8">
      <c r="A32" s="458">
        <v>15</v>
      </c>
      <c r="B32" s="440" t="s">
        <v>798</v>
      </c>
      <c r="C32" s="696">
        <v>-998941</v>
      </c>
      <c r="D32" s="696">
        <v>0</v>
      </c>
      <c r="E32" s="675">
        <f t="shared" si="0"/>
        <v>-998941</v>
      </c>
      <c r="F32" s="696">
        <v>-1309794</v>
      </c>
      <c r="G32" s="696"/>
      <c r="H32" s="675">
        <f t="shared" si="1"/>
        <v>-1309794</v>
      </c>
    </row>
    <row r="33" spans="1:8" ht="22.5" customHeight="1">
      <c r="A33" s="458">
        <v>16</v>
      </c>
      <c r="B33" s="408" t="s">
        <v>799</v>
      </c>
      <c r="C33" s="696"/>
      <c r="D33" s="696"/>
      <c r="E33" s="675">
        <f t="shared" si="0"/>
        <v>0</v>
      </c>
      <c r="F33" s="696">
        <v>-64460.852700000163</v>
      </c>
      <c r="G33" s="696"/>
      <c r="H33" s="675">
        <f t="shared" si="1"/>
        <v>-64460.852700000163</v>
      </c>
    </row>
    <row r="34" spans="1:8">
      <c r="A34" s="458">
        <v>17</v>
      </c>
      <c r="B34" s="435" t="s">
        <v>800</v>
      </c>
      <c r="C34" s="696">
        <v>-49907.943305279521</v>
      </c>
      <c r="D34" s="696">
        <v>0</v>
      </c>
      <c r="E34" s="675">
        <f t="shared" si="0"/>
        <v>-49907.943305279521</v>
      </c>
      <c r="F34" s="696">
        <v>-17211.82130971794</v>
      </c>
      <c r="G34" s="696">
        <v>0</v>
      </c>
      <c r="H34" s="675">
        <f t="shared" si="1"/>
        <v>-17211.82130971794</v>
      </c>
    </row>
    <row r="35" spans="1:8">
      <c r="A35" s="458">
        <v>17.100000000000001</v>
      </c>
      <c r="B35" s="441" t="s">
        <v>801</v>
      </c>
      <c r="C35" s="696">
        <v>2858.1066947204599</v>
      </c>
      <c r="D35" s="696"/>
      <c r="E35" s="675">
        <f t="shared" si="0"/>
        <v>2858.1066947204599</v>
      </c>
      <c r="F35" s="696">
        <v>0</v>
      </c>
      <c r="G35" s="696"/>
      <c r="H35" s="675">
        <f t="shared" si="1"/>
        <v>0</v>
      </c>
    </row>
    <row r="36" spans="1:8">
      <c r="A36" s="458">
        <v>17.2</v>
      </c>
      <c r="B36" s="412" t="s">
        <v>802</v>
      </c>
      <c r="C36" s="696">
        <v>-52766.049999999981</v>
      </c>
      <c r="D36" s="696">
        <v>0</v>
      </c>
      <c r="E36" s="675">
        <f t="shared" si="0"/>
        <v>-52766.049999999981</v>
      </c>
      <c r="F36" s="696">
        <v>-17211.82130971794</v>
      </c>
      <c r="G36" s="696"/>
      <c r="H36" s="675">
        <f t="shared" si="1"/>
        <v>-17211.82130971794</v>
      </c>
    </row>
    <row r="37" spans="1:8" ht="41.85" customHeight="1">
      <c r="A37" s="458">
        <v>18</v>
      </c>
      <c r="B37" s="442" t="s">
        <v>803</v>
      </c>
      <c r="C37" s="696">
        <v>-2260576</v>
      </c>
      <c r="D37" s="696">
        <v>0</v>
      </c>
      <c r="E37" s="675">
        <f t="shared" si="0"/>
        <v>-2260576</v>
      </c>
      <c r="F37" s="696">
        <v>-500307.89578722103</v>
      </c>
      <c r="G37" s="696">
        <v>0</v>
      </c>
      <c r="H37" s="675">
        <f t="shared" si="1"/>
        <v>-500307.89578722103</v>
      </c>
    </row>
    <row r="38" spans="1:8" ht="21">
      <c r="A38" s="458">
        <v>18.100000000000001</v>
      </c>
      <c r="B38" s="427" t="s">
        <v>804</v>
      </c>
      <c r="C38" s="696"/>
      <c r="D38" s="696"/>
      <c r="E38" s="675">
        <f t="shared" si="0"/>
        <v>0</v>
      </c>
      <c r="F38" s="696"/>
      <c r="G38" s="696"/>
      <c r="H38" s="675">
        <f t="shared" si="1"/>
        <v>0</v>
      </c>
    </row>
    <row r="39" spans="1:8">
      <c r="A39" s="458">
        <v>18.2</v>
      </c>
      <c r="B39" s="427" t="s">
        <v>805</v>
      </c>
      <c r="C39" s="696">
        <v>-2260576</v>
      </c>
      <c r="D39" s="696">
        <v>0</v>
      </c>
      <c r="E39" s="675">
        <f t="shared" si="0"/>
        <v>-2260576</v>
      </c>
      <c r="F39" s="696">
        <v>-500307.89578722103</v>
      </c>
      <c r="G39" s="696"/>
      <c r="H39" s="675">
        <f t="shared" si="1"/>
        <v>-500307.89578722103</v>
      </c>
    </row>
    <row r="40" spans="1:8" ht="24.6" customHeight="1">
      <c r="A40" s="458">
        <v>19</v>
      </c>
      <c r="B40" s="442" t="s">
        <v>806</v>
      </c>
      <c r="C40" s="696"/>
      <c r="D40" s="696"/>
      <c r="E40" s="675">
        <f t="shared" si="0"/>
        <v>0</v>
      </c>
      <c r="F40" s="696"/>
      <c r="G40" s="696"/>
      <c r="H40" s="675">
        <f t="shared" si="1"/>
        <v>0</v>
      </c>
    </row>
    <row r="41" spans="1:8" ht="25.35" customHeight="1">
      <c r="A41" s="458">
        <v>20</v>
      </c>
      <c r="B41" s="442" t="s">
        <v>807</v>
      </c>
      <c r="C41" s="696"/>
      <c r="D41" s="696"/>
      <c r="E41" s="675">
        <f t="shared" si="0"/>
        <v>0</v>
      </c>
      <c r="F41" s="696"/>
      <c r="G41" s="696"/>
      <c r="H41" s="675">
        <f t="shared" si="1"/>
        <v>0</v>
      </c>
    </row>
    <row r="42" spans="1:8" ht="33" customHeight="1">
      <c r="A42" s="458">
        <v>21</v>
      </c>
      <c r="B42" s="443" t="s">
        <v>808</v>
      </c>
      <c r="C42" s="696"/>
      <c r="D42" s="696"/>
      <c r="E42" s="675">
        <f t="shared" si="0"/>
        <v>0</v>
      </c>
      <c r="F42" s="696"/>
      <c r="G42" s="696"/>
      <c r="H42" s="675">
        <f t="shared" si="1"/>
        <v>0</v>
      </c>
    </row>
    <row r="43" spans="1:8">
      <c r="A43" s="458">
        <v>22</v>
      </c>
      <c r="B43" s="444" t="s">
        <v>809</v>
      </c>
      <c r="C43" s="696">
        <v>646726.57205473306</v>
      </c>
      <c r="D43" s="696">
        <v>-1153422.8559647901</v>
      </c>
      <c r="E43" s="675">
        <f t="shared" si="0"/>
        <v>-506696.28391005704</v>
      </c>
      <c r="F43" s="696">
        <v>12958112.014605794</v>
      </c>
      <c r="G43" s="696">
        <v>-3038933</v>
      </c>
      <c r="H43" s="675">
        <f t="shared" si="1"/>
        <v>9919179.0146057941</v>
      </c>
    </row>
    <row r="44" spans="1:8">
      <c r="A44" s="458">
        <v>23</v>
      </c>
      <c r="B44" s="444" t="s">
        <v>810</v>
      </c>
      <c r="C44" s="696">
        <v>-62342</v>
      </c>
      <c r="D44" s="696">
        <v>0</v>
      </c>
      <c r="E44" s="675">
        <f t="shared" si="0"/>
        <v>-62342</v>
      </c>
      <c r="F44" s="696">
        <v>-5787010.0945021901</v>
      </c>
      <c r="G44" s="696"/>
      <c r="H44" s="675">
        <f t="shared" si="1"/>
        <v>-5787010.0945021901</v>
      </c>
    </row>
    <row r="45" spans="1:8">
      <c r="A45" s="458">
        <v>24</v>
      </c>
      <c r="B45" s="444" t="s">
        <v>811</v>
      </c>
      <c r="C45" s="696">
        <v>709068.57205473306</v>
      </c>
      <c r="D45" s="696">
        <v>-1153422.8559647901</v>
      </c>
      <c r="E45" s="675">
        <f t="shared" si="0"/>
        <v>-444354.28391005704</v>
      </c>
      <c r="F45" s="696">
        <v>18745122.109107986</v>
      </c>
      <c r="G45" s="696">
        <v>-3038933</v>
      </c>
      <c r="H45" s="675">
        <f t="shared" si="1"/>
        <v>15706189.109107986</v>
      </c>
    </row>
    <row r="46" spans="1:8">
      <c r="C46" s="795"/>
      <c r="D46" s="795"/>
      <c r="E46" s="795"/>
      <c r="F46" s="795"/>
      <c r="G46" s="795"/>
      <c r="H46" s="795"/>
    </row>
    <row r="47" spans="1:8">
      <c r="C47" s="795"/>
      <c r="D47" s="795"/>
      <c r="E47" s="795"/>
      <c r="F47" s="795"/>
      <c r="G47" s="795"/>
      <c r="H47" s="795"/>
    </row>
    <row r="48" spans="1:8">
      <c r="C48" s="795"/>
      <c r="D48" s="795"/>
      <c r="E48" s="795"/>
      <c r="F48" s="795"/>
      <c r="G48" s="795"/>
      <c r="H48" s="795"/>
    </row>
    <row r="49" spans="3:8">
      <c r="C49" s="795"/>
      <c r="D49" s="795"/>
      <c r="E49" s="795"/>
      <c r="F49" s="795"/>
      <c r="G49" s="795"/>
      <c r="H49" s="795"/>
    </row>
    <row r="50" spans="3:8">
      <c r="C50" s="795"/>
      <c r="D50" s="795"/>
      <c r="E50" s="795"/>
      <c r="F50" s="795"/>
      <c r="G50" s="795"/>
      <c r="H50" s="795"/>
    </row>
    <row r="51" spans="3:8">
      <c r="C51" s="795"/>
      <c r="D51" s="795"/>
      <c r="E51" s="795"/>
      <c r="F51" s="795"/>
      <c r="G51" s="795"/>
      <c r="H51" s="795"/>
    </row>
    <row r="52" spans="3:8">
      <c r="C52" s="795"/>
      <c r="D52" s="795"/>
      <c r="E52" s="795"/>
      <c r="F52" s="795"/>
      <c r="G52" s="795"/>
      <c r="H52" s="795"/>
    </row>
    <row r="53" spans="3:8">
      <c r="C53" s="795"/>
      <c r="D53" s="795"/>
      <c r="E53" s="795"/>
      <c r="F53" s="795"/>
      <c r="G53" s="795"/>
      <c r="H53" s="795"/>
    </row>
    <row r="54" spans="3:8">
      <c r="C54" s="795"/>
      <c r="D54" s="795"/>
      <c r="E54" s="795"/>
      <c r="F54" s="795"/>
      <c r="G54" s="795"/>
      <c r="H54" s="795"/>
    </row>
    <row r="55" spans="3:8">
      <c r="C55" s="795"/>
      <c r="D55" s="795"/>
      <c r="E55" s="795"/>
      <c r="F55" s="795"/>
      <c r="G55" s="795"/>
      <c r="H55" s="795"/>
    </row>
    <row r="56" spans="3:8">
      <c r="C56" s="795"/>
      <c r="D56" s="795"/>
      <c r="E56" s="795"/>
      <c r="F56" s="795"/>
      <c r="G56" s="795"/>
      <c r="H56" s="795"/>
    </row>
    <row r="57" spans="3:8">
      <c r="C57" s="795"/>
      <c r="D57" s="795"/>
      <c r="E57" s="795"/>
      <c r="F57" s="795"/>
      <c r="G57" s="795"/>
      <c r="H57" s="795"/>
    </row>
    <row r="58" spans="3:8">
      <c r="C58" s="795"/>
      <c r="D58" s="795"/>
      <c r="E58" s="795"/>
      <c r="F58" s="795"/>
      <c r="G58" s="795"/>
      <c r="H58" s="795"/>
    </row>
    <row r="59" spans="3:8">
      <c r="C59" s="795"/>
      <c r="D59" s="795"/>
      <c r="E59" s="795"/>
      <c r="F59" s="795"/>
      <c r="G59" s="795"/>
      <c r="H59" s="795"/>
    </row>
    <row r="60" spans="3:8">
      <c r="C60" s="795"/>
      <c r="D60" s="795"/>
      <c r="E60" s="795"/>
      <c r="F60" s="795"/>
      <c r="G60" s="795"/>
      <c r="H60" s="795"/>
    </row>
    <row r="61" spans="3:8">
      <c r="C61" s="795"/>
      <c r="D61" s="795"/>
      <c r="E61" s="795"/>
      <c r="F61" s="795"/>
      <c r="G61" s="795"/>
      <c r="H61" s="795"/>
    </row>
    <row r="62" spans="3:8">
      <c r="C62" s="795"/>
      <c r="D62" s="795"/>
      <c r="E62" s="795"/>
      <c r="F62" s="795"/>
      <c r="G62" s="795"/>
      <c r="H62" s="795"/>
    </row>
    <row r="63" spans="3:8">
      <c r="C63" s="795"/>
      <c r="D63" s="795"/>
      <c r="E63" s="795"/>
      <c r="F63" s="795"/>
      <c r="G63" s="795"/>
      <c r="H63" s="795"/>
    </row>
    <row r="64" spans="3:8">
      <c r="C64" s="795"/>
      <c r="D64" s="795"/>
      <c r="E64" s="795"/>
      <c r="F64" s="795"/>
      <c r="G64" s="795"/>
      <c r="H64" s="795"/>
    </row>
    <row r="65" spans="3:8">
      <c r="C65" s="795"/>
      <c r="D65" s="795"/>
      <c r="E65" s="795"/>
      <c r="F65" s="795"/>
      <c r="G65" s="795"/>
      <c r="H65" s="795"/>
    </row>
    <row r="66" spans="3:8">
      <c r="C66" s="795"/>
      <c r="D66" s="795"/>
      <c r="E66" s="795"/>
      <c r="F66" s="795"/>
      <c r="G66" s="795"/>
      <c r="H66" s="795"/>
    </row>
    <row r="67" spans="3:8">
      <c r="C67" s="795"/>
      <c r="D67" s="795"/>
      <c r="E67" s="795"/>
      <c r="F67" s="795"/>
      <c r="G67" s="795"/>
      <c r="H67" s="795"/>
    </row>
    <row r="68" spans="3:8">
      <c r="C68" s="795"/>
      <c r="D68" s="795"/>
      <c r="E68" s="795"/>
      <c r="F68" s="795"/>
      <c r="G68" s="795"/>
      <c r="H68" s="795"/>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zoomScale="80" zoomScaleNormal="80" workbookViewId="0">
      <selection activeCell="C1" sqref="C1"/>
    </sheetView>
  </sheetViews>
  <sheetFormatPr defaultRowHeight="15"/>
  <cols>
    <col min="1" max="1" width="8.7109375" style="455"/>
    <col min="2" max="2" width="87.7109375" bestFit="1" customWidth="1"/>
    <col min="3" max="3" width="12.7109375" customWidth="1"/>
    <col min="4" max="4" width="14.28515625" bestFit="1" customWidth="1"/>
    <col min="5" max="5" width="14" bestFit="1" customWidth="1"/>
    <col min="6" max="6" width="12.7109375" customWidth="1"/>
    <col min="7" max="7" width="14" bestFit="1" customWidth="1"/>
    <col min="8" max="8" width="13.7109375" bestFit="1" customWidth="1"/>
  </cols>
  <sheetData>
    <row r="1" spans="1:8" ht="15.75">
      <c r="A1" s="17" t="s">
        <v>108</v>
      </c>
      <c r="B1" s="306" t="str">
        <f>Info!C2</f>
        <v>JSC "VTB Bank (Georgia)"</v>
      </c>
      <c r="C1" s="16"/>
      <c r="D1" s="227"/>
      <c r="E1" s="227"/>
      <c r="F1" s="227"/>
      <c r="G1" s="227"/>
    </row>
    <row r="2" spans="1:8" ht="15.75">
      <c r="A2" s="17" t="s">
        <v>109</v>
      </c>
      <c r="B2" s="337">
        <f>Info!D2</f>
        <v>45565</v>
      </c>
      <c r="C2" s="29"/>
      <c r="D2" s="18"/>
      <c r="E2" s="18"/>
      <c r="F2" s="18"/>
      <c r="G2" s="18"/>
      <c r="H2" s="1"/>
    </row>
    <row r="3" spans="1:8" ht="16.5" thickBot="1">
      <c r="A3" s="17"/>
      <c r="B3" s="16"/>
      <c r="C3" s="29"/>
      <c r="D3" s="18"/>
      <c r="E3" s="18"/>
      <c r="F3" s="18"/>
      <c r="G3" s="18"/>
      <c r="H3" s="1"/>
    </row>
    <row r="4" spans="1:8" ht="15.75">
      <c r="A4" s="813" t="s">
        <v>25</v>
      </c>
      <c r="B4" s="825" t="s">
        <v>151</v>
      </c>
      <c r="C4" s="826" t="s">
        <v>114</v>
      </c>
      <c r="D4" s="826"/>
      <c r="E4" s="826"/>
      <c r="F4" s="826" t="s">
        <v>115</v>
      </c>
      <c r="G4" s="826"/>
      <c r="H4" s="827"/>
    </row>
    <row r="5" spans="1:8">
      <c r="A5" s="813"/>
      <c r="B5" s="825"/>
      <c r="C5" s="431" t="s">
        <v>26</v>
      </c>
      <c r="D5" s="431" t="s">
        <v>88</v>
      </c>
      <c r="E5" s="431" t="s">
        <v>66</v>
      </c>
      <c r="F5" s="431" t="s">
        <v>26</v>
      </c>
      <c r="G5" s="431" t="s">
        <v>88</v>
      </c>
      <c r="H5" s="445" t="s">
        <v>66</v>
      </c>
    </row>
    <row r="6" spans="1:8" ht="15.75">
      <c r="A6" s="446">
        <v>1</v>
      </c>
      <c r="B6" s="447" t="s">
        <v>812</v>
      </c>
      <c r="C6" s="724"/>
      <c r="D6" s="724"/>
      <c r="E6" s="725">
        <f t="shared" ref="E6:E43" si="0">C6+D6</f>
        <v>0</v>
      </c>
      <c r="F6" s="724"/>
      <c r="G6" s="724"/>
      <c r="H6" s="726">
        <f t="shared" ref="H6:H43" si="1">F6+G6</f>
        <v>0</v>
      </c>
    </row>
    <row r="7" spans="1:8" ht="28.35" customHeight="1">
      <c r="A7" s="446">
        <v>2</v>
      </c>
      <c r="B7" s="447" t="s">
        <v>177</v>
      </c>
      <c r="C7" s="724"/>
      <c r="D7" s="724"/>
      <c r="E7" s="725">
        <f t="shared" si="0"/>
        <v>0</v>
      </c>
      <c r="F7" s="724"/>
      <c r="G7" s="724"/>
      <c r="H7" s="726">
        <f t="shared" si="1"/>
        <v>0</v>
      </c>
    </row>
    <row r="8" spans="1:8" ht="15.75">
      <c r="A8" s="446">
        <v>3</v>
      </c>
      <c r="B8" s="447" t="s">
        <v>179</v>
      </c>
      <c r="C8" s="724">
        <v>31427497</v>
      </c>
      <c r="D8" s="724">
        <v>3199604036</v>
      </c>
      <c r="E8" s="725">
        <f t="shared" si="0"/>
        <v>3231031533</v>
      </c>
      <c r="F8" s="724">
        <v>58190089.579999998</v>
      </c>
      <c r="G8" s="724">
        <v>3345584886.4499998</v>
      </c>
      <c r="H8" s="726">
        <f t="shared" si="1"/>
        <v>3403774976.0299997</v>
      </c>
    </row>
    <row r="9" spans="1:8" ht="15.75">
      <c r="A9" s="446">
        <v>3.1</v>
      </c>
      <c r="B9" s="448" t="s">
        <v>813</v>
      </c>
      <c r="C9" s="724">
        <v>31427497</v>
      </c>
      <c r="D9" s="724">
        <v>3191873361.8179998</v>
      </c>
      <c r="E9" s="725">
        <f t="shared" si="0"/>
        <v>3223300858.8179998</v>
      </c>
      <c r="F9" s="724">
        <v>58190089.579999998</v>
      </c>
      <c r="G9" s="724">
        <v>3344254266.8354998</v>
      </c>
      <c r="H9" s="726">
        <f t="shared" si="1"/>
        <v>3402444356.4154997</v>
      </c>
    </row>
    <row r="10" spans="1:8" ht="15.75">
      <c r="A10" s="446">
        <v>3.2</v>
      </c>
      <c r="B10" s="448" t="s">
        <v>814</v>
      </c>
      <c r="C10" s="724">
        <v>0</v>
      </c>
      <c r="D10" s="724">
        <v>7730674.182</v>
      </c>
      <c r="E10" s="725">
        <f t="shared" si="0"/>
        <v>7730674.182</v>
      </c>
      <c r="F10" s="724">
        <v>0</v>
      </c>
      <c r="G10" s="724">
        <v>1330619.6144999999</v>
      </c>
      <c r="H10" s="726">
        <f t="shared" si="1"/>
        <v>1330619.6144999999</v>
      </c>
    </row>
    <row r="11" spans="1:8" ht="25.5">
      <c r="A11" s="446">
        <v>4</v>
      </c>
      <c r="B11" s="447" t="s">
        <v>178</v>
      </c>
      <c r="C11" s="724">
        <f>C12+C13</f>
        <v>0</v>
      </c>
      <c r="D11" s="724">
        <f>D12+D13</f>
        <v>0</v>
      </c>
      <c r="E11" s="725">
        <f t="shared" si="0"/>
        <v>0</v>
      </c>
      <c r="F11" s="724">
        <f>F12+F13</f>
        <v>0</v>
      </c>
      <c r="G11" s="724">
        <f>G12+G13</f>
        <v>0</v>
      </c>
      <c r="H11" s="726">
        <f t="shared" si="1"/>
        <v>0</v>
      </c>
    </row>
    <row r="12" spans="1:8" ht="15.75">
      <c r="A12" s="446">
        <v>4.0999999999999996</v>
      </c>
      <c r="B12" s="448" t="s">
        <v>815</v>
      </c>
      <c r="C12" s="724"/>
      <c r="D12" s="724"/>
      <c r="E12" s="725">
        <f t="shared" si="0"/>
        <v>0</v>
      </c>
      <c r="F12" s="724"/>
      <c r="G12" s="724"/>
      <c r="H12" s="726">
        <f t="shared" si="1"/>
        <v>0</v>
      </c>
    </row>
    <row r="13" spans="1:8" ht="15.75">
      <c r="A13" s="446">
        <v>4.2</v>
      </c>
      <c r="B13" s="448" t="s">
        <v>816</v>
      </c>
      <c r="C13" s="724"/>
      <c r="D13" s="724"/>
      <c r="E13" s="725">
        <f t="shared" si="0"/>
        <v>0</v>
      </c>
      <c r="F13" s="724"/>
      <c r="G13" s="724"/>
      <c r="H13" s="726">
        <f t="shared" si="1"/>
        <v>0</v>
      </c>
    </row>
    <row r="14" spans="1:8" ht="15.75">
      <c r="A14" s="446">
        <v>5</v>
      </c>
      <c r="B14" s="449" t="s">
        <v>817</v>
      </c>
      <c r="C14" s="724">
        <f>C15+C16+C17+C23+C24+C25+C26</f>
        <v>24287780</v>
      </c>
      <c r="D14" s="724">
        <f>D15+D16+D17+D23+D24+D25+D26</f>
        <v>593308658.9476999</v>
      </c>
      <c r="E14" s="725">
        <f t="shared" si="0"/>
        <v>617596438.9476999</v>
      </c>
      <c r="F14" s="724">
        <f>F15+F16+F17+F23+F24+F25+F26</f>
        <v>26756148.390000001</v>
      </c>
      <c r="G14" s="724">
        <f>G15+G16+G17+G23+G24+G25+G26</f>
        <v>767534287.87970006</v>
      </c>
      <c r="H14" s="726">
        <f t="shared" si="1"/>
        <v>794290436.26970005</v>
      </c>
    </row>
    <row r="15" spans="1:8" ht="15.75">
      <c r="A15" s="446">
        <v>5.0999999999999996</v>
      </c>
      <c r="B15" s="450" t="s">
        <v>818</v>
      </c>
      <c r="C15" s="724">
        <v>230000</v>
      </c>
      <c r="D15" s="724">
        <v>618251.8003</v>
      </c>
      <c r="E15" s="725">
        <f t="shared" si="0"/>
        <v>848251.8003</v>
      </c>
      <c r="F15" s="724">
        <v>2649368.39</v>
      </c>
      <c r="G15" s="724">
        <v>606610.17570000002</v>
      </c>
      <c r="H15" s="726">
        <f t="shared" si="1"/>
        <v>3255978.5657000002</v>
      </c>
    </row>
    <row r="16" spans="1:8" ht="15.75">
      <c r="A16" s="446">
        <v>5.2</v>
      </c>
      <c r="B16" s="450" t="s">
        <v>819</v>
      </c>
      <c r="C16" s="724">
        <v>0</v>
      </c>
      <c r="D16" s="724">
        <v>73012.732699999993</v>
      </c>
      <c r="E16" s="725">
        <f t="shared" si="0"/>
        <v>73012.732699999993</v>
      </c>
      <c r="F16" s="724">
        <v>0</v>
      </c>
      <c r="G16" s="724">
        <v>71637.909599999999</v>
      </c>
      <c r="H16" s="726">
        <f t="shared" si="1"/>
        <v>71637.909599999999</v>
      </c>
    </row>
    <row r="17" spans="1:8" ht="15.75">
      <c r="A17" s="446">
        <v>5.3</v>
      </c>
      <c r="B17" s="450" t="s">
        <v>820</v>
      </c>
      <c r="C17" s="724">
        <v>23225400</v>
      </c>
      <c r="D17" s="724">
        <v>399264986.22479999</v>
      </c>
      <c r="E17" s="725">
        <f t="shared" si="0"/>
        <v>422490386.22479999</v>
      </c>
      <c r="F17" s="724">
        <v>23225400</v>
      </c>
      <c r="G17" s="724">
        <v>549497236.07749999</v>
      </c>
      <c r="H17" s="726">
        <f t="shared" si="1"/>
        <v>572722636.07749999</v>
      </c>
    </row>
    <row r="18" spans="1:8" ht="15.75">
      <c r="A18" s="446" t="s">
        <v>180</v>
      </c>
      <c r="B18" s="451" t="s">
        <v>821</v>
      </c>
      <c r="C18" s="724">
        <v>138000</v>
      </c>
      <c r="D18" s="724">
        <v>34122614.850000001</v>
      </c>
      <c r="E18" s="725">
        <f t="shared" si="0"/>
        <v>34260614.850000001</v>
      </c>
      <c r="F18" s="724">
        <v>138000</v>
      </c>
      <c r="G18" s="724">
        <v>34530250.579999998</v>
      </c>
      <c r="H18" s="726">
        <f t="shared" si="1"/>
        <v>34668250.579999998</v>
      </c>
    </row>
    <row r="19" spans="1:8" ht="15.75">
      <c r="A19" s="446" t="s">
        <v>181</v>
      </c>
      <c r="B19" s="452" t="s">
        <v>822</v>
      </c>
      <c r="C19" s="724">
        <v>23074400</v>
      </c>
      <c r="D19" s="724">
        <v>265217924.97</v>
      </c>
      <c r="E19" s="725">
        <f t="shared" si="0"/>
        <v>288292324.97000003</v>
      </c>
      <c r="F19" s="724">
        <v>23074400</v>
      </c>
      <c r="G19" s="724">
        <v>410203339.23000002</v>
      </c>
      <c r="H19" s="726">
        <f t="shared" si="1"/>
        <v>433277739.23000002</v>
      </c>
    </row>
    <row r="20" spans="1:8" ht="15.75">
      <c r="A20" s="446" t="s">
        <v>182</v>
      </c>
      <c r="B20" s="452" t="s">
        <v>823</v>
      </c>
      <c r="C20" s="724">
        <v>0</v>
      </c>
      <c r="D20" s="724">
        <v>18037857.600000001</v>
      </c>
      <c r="E20" s="725">
        <f t="shared" si="0"/>
        <v>18037857.600000001</v>
      </c>
      <c r="F20" s="724">
        <v>0</v>
      </c>
      <c r="G20" s="724">
        <v>17698206.399999999</v>
      </c>
      <c r="H20" s="726">
        <f t="shared" si="1"/>
        <v>17698206.399999999</v>
      </c>
    </row>
    <row r="21" spans="1:8" ht="15.75">
      <c r="A21" s="446" t="s">
        <v>183</v>
      </c>
      <c r="B21" s="452" t="s">
        <v>824</v>
      </c>
      <c r="C21" s="724">
        <v>13000</v>
      </c>
      <c r="D21" s="724">
        <v>39973404.6954</v>
      </c>
      <c r="E21" s="725">
        <f t="shared" si="0"/>
        <v>39986404.6954</v>
      </c>
      <c r="F21" s="724">
        <v>13000</v>
      </c>
      <c r="G21" s="724">
        <v>45941477.160899997</v>
      </c>
      <c r="H21" s="726">
        <f t="shared" si="1"/>
        <v>45954477.160899997</v>
      </c>
    </row>
    <row r="22" spans="1:8" ht="15.75">
      <c r="A22" s="446" t="s">
        <v>184</v>
      </c>
      <c r="B22" s="452" t="s">
        <v>541</v>
      </c>
      <c r="C22" s="724">
        <v>0</v>
      </c>
      <c r="D22" s="724">
        <v>41913184.109399997</v>
      </c>
      <c r="E22" s="725">
        <f t="shared" si="0"/>
        <v>41913184.109399997</v>
      </c>
      <c r="F22" s="724">
        <v>0</v>
      </c>
      <c r="G22" s="724">
        <v>41123962.706600003</v>
      </c>
      <c r="H22" s="726">
        <f t="shared" si="1"/>
        <v>41123962.706600003</v>
      </c>
    </row>
    <row r="23" spans="1:8" ht="15.75">
      <c r="A23" s="446">
        <v>5.4</v>
      </c>
      <c r="B23" s="450" t="s">
        <v>825</v>
      </c>
      <c r="C23" s="724">
        <v>804767</v>
      </c>
      <c r="D23" s="724">
        <v>130723876.19670001</v>
      </c>
      <c r="E23" s="725">
        <f t="shared" si="0"/>
        <v>131528643.19670001</v>
      </c>
      <c r="F23" s="724">
        <v>853767</v>
      </c>
      <c r="G23" s="724">
        <v>155909561.22240001</v>
      </c>
      <c r="H23" s="726">
        <f t="shared" si="1"/>
        <v>156763328.22240001</v>
      </c>
    </row>
    <row r="24" spans="1:8" ht="15.75">
      <c r="A24" s="446">
        <v>5.5</v>
      </c>
      <c r="B24" s="450" t="s">
        <v>826</v>
      </c>
      <c r="C24" s="724">
        <v>5</v>
      </c>
      <c r="D24" s="724">
        <v>54594002.729699999</v>
      </c>
      <c r="E24" s="725">
        <f t="shared" si="0"/>
        <v>54594007.729699999</v>
      </c>
      <c r="F24" s="724">
        <v>5</v>
      </c>
      <c r="G24" s="724">
        <v>53566002.678300001</v>
      </c>
      <c r="H24" s="726">
        <f t="shared" si="1"/>
        <v>53566007.678300001</v>
      </c>
    </row>
    <row r="25" spans="1:8" ht="15.75">
      <c r="A25" s="446">
        <v>5.6</v>
      </c>
      <c r="B25" s="450" t="s">
        <v>827</v>
      </c>
      <c r="C25" s="724">
        <v>0</v>
      </c>
      <c r="D25" s="724">
        <v>7643160</v>
      </c>
      <c r="E25" s="725">
        <f t="shared" si="0"/>
        <v>7643160</v>
      </c>
      <c r="F25" s="724">
        <v>0</v>
      </c>
      <c r="G25" s="724">
        <v>7499240</v>
      </c>
      <c r="H25" s="726">
        <f t="shared" si="1"/>
        <v>7499240</v>
      </c>
    </row>
    <row r="26" spans="1:8" ht="15.75">
      <c r="A26" s="446">
        <v>5.7</v>
      </c>
      <c r="B26" s="450" t="s">
        <v>541</v>
      </c>
      <c r="C26" s="724">
        <v>27608</v>
      </c>
      <c r="D26" s="724">
        <v>391369.2635</v>
      </c>
      <c r="E26" s="725">
        <f t="shared" si="0"/>
        <v>418977.2635</v>
      </c>
      <c r="F26" s="724">
        <v>27608</v>
      </c>
      <c r="G26" s="724">
        <v>383999.8162</v>
      </c>
      <c r="H26" s="726">
        <f t="shared" si="1"/>
        <v>411607.8162</v>
      </c>
    </row>
    <row r="27" spans="1:8" ht="15.75">
      <c r="A27" s="446">
        <v>6</v>
      </c>
      <c r="B27" s="449" t="s">
        <v>828</v>
      </c>
      <c r="C27" s="724">
        <v>47145.18</v>
      </c>
      <c r="D27" s="724">
        <v>0</v>
      </c>
      <c r="E27" s="725">
        <f t="shared" si="0"/>
        <v>47145.18</v>
      </c>
      <c r="F27" s="724">
        <v>16662806.33</v>
      </c>
      <c r="G27" s="724">
        <v>3772011.82</v>
      </c>
      <c r="H27" s="726">
        <f t="shared" si="1"/>
        <v>20434818.149999999</v>
      </c>
    </row>
    <row r="28" spans="1:8" ht="15.75">
      <c r="A28" s="446">
        <v>7</v>
      </c>
      <c r="B28" s="449" t="s">
        <v>829</v>
      </c>
      <c r="C28" s="724">
        <v>200000</v>
      </c>
      <c r="D28" s="724">
        <v>15801</v>
      </c>
      <c r="E28" s="725">
        <f t="shared" si="0"/>
        <v>215801</v>
      </c>
      <c r="F28" s="724">
        <v>2863595.79</v>
      </c>
      <c r="G28" s="724">
        <v>15503.69</v>
      </c>
      <c r="H28" s="726">
        <f t="shared" si="1"/>
        <v>2879099.48</v>
      </c>
    </row>
    <row r="29" spans="1:8" ht="15.75">
      <c r="A29" s="446">
        <v>8</v>
      </c>
      <c r="B29" s="449" t="s">
        <v>830</v>
      </c>
      <c r="C29" s="724"/>
      <c r="D29" s="724"/>
      <c r="E29" s="725">
        <f t="shared" si="0"/>
        <v>0</v>
      </c>
      <c r="F29" s="724"/>
      <c r="G29" s="724"/>
      <c r="H29" s="726">
        <f t="shared" si="1"/>
        <v>0</v>
      </c>
    </row>
    <row r="30" spans="1:8" ht="15.75">
      <c r="A30" s="446">
        <v>9</v>
      </c>
      <c r="B30" s="447" t="s">
        <v>185</v>
      </c>
      <c r="C30" s="724">
        <f>C31+C32+C33+C34+C35+C36+C37</f>
        <v>0</v>
      </c>
      <c r="D30" s="724">
        <f>D31+D32+D33+D34+D35+D36+D37</f>
        <v>0</v>
      </c>
      <c r="E30" s="725">
        <f t="shared" si="0"/>
        <v>0</v>
      </c>
      <c r="F30" s="724">
        <f>F31+F32+F33+F34+F35+F36+F37</f>
        <v>0</v>
      </c>
      <c r="G30" s="724">
        <f>G31+G32+G33+G34+G35+G36+G37</f>
        <v>0</v>
      </c>
      <c r="H30" s="726">
        <f t="shared" si="1"/>
        <v>0</v>
      </c>
    </row>
    <row r="31" spans="1:8" ht="25.5">
      <c r="A31" s="446">
        <v>9.1</v>
      </c>
      <c r="B31" s="448" t="s">
        <v>831</v>
      </c>
      <c r="C31" s="724"/>
      <c r="D31" s="724"/>
      <c r="E31" s="725">
        <f t="shared" si="0"/>
        <v>0</v>
      </c>
      <c r="F31" s="724"/>
      <c r="G31" s="724"/>
      <c r="H31" s="726">
        <f t="shared" si="1"/>
        <v>0</v>
      </c>
    </row>
    <row r="32" spans="1:8" ht="25.5">
      <c r="A32" s="446">
        <v>9.1999999999999993</v>
      </c>
      <c r="B32" s="448" t="s">
        <v>832</v>
      </c>
      <c r="C32" s="724"/>
      <c r="D32" s="724"/>
      <c r="E32" s="725">
        <f t="shared" si="0"/>
        <v>0</v>
      </c>
      <c r="F32" s="724"/>
      <c r="G32" s="724"/>
      <c r="H32" s="726">
        <f t="shared" si="1"/>
        <v>0</v>
      </c>
    </row>
    <row r="33" spans="1:8" ht="25.5">
      <c r="A33" s="446">
        <v>9.3000000000000007</v>
      </c>
      <c r="B33" s="448" t="s">
        <v>833</v>
      </c>
      <c r="C33" s="724"/>
      <c r="D33" s="724"/>
      <c r="E33" s="725">
        <f t="shared" si="0"/>
        <v>0</v>
      </c>
      <c r="F33" s="724"/>
      <c r="G33" s="724"/>
      <c r="H33" s="726">
        <f t="shared" si="1"/>
        <v>0</v>
      </c>
    </row>
    <row r="34" spans="1:8" ht="15.75">
      <c r="A34" s="446">
        <v>9.4</v>
      </c>
      <c r="B34" s="448" t="s">
        <v>834</v>
      </c>
      <c r="C34" s="724"/>
      <c r="D34" s="724"/>
      <c r="E34" s="725">
        <f t="shared" si="0"/>
        <v>0</v>
      </c>
      <c r="F34" s="724"/>
      <c r="G34" s="724"/>
      <c r="H34" s="726">
        <f t="shared" si="1"/>
        <v>0</v>
      </c>
    </row>
    <row r="35" spans="1:8" ht="15.75">
      <c r="A35" s="446">
        <v>9.5</v>
      </c>
      <c r="B35" s="448" t="s">
        <v>835</v>
      </c>
      <c r="C35" s="724"/>
      <c r="D35" s="724"/>
      <c r="E35" s="725">
        <f t="shared" si="0"/>
        <v>0</v>
      </c>
      <c r="F35" s="724"/>
      <c r="G35" s="724"/>
      <c r="H35" s="726">
        <f t="shared" si="1"/>
        <v>0</v>
      </c>
    </row>
    <row r="36" spans="1:8" ht="25.5">
      <c r="A36" s="446">
        <v>9.6</v>
      </c>
      <c r="B36" s="448" t="s">
        <v>836</v>
      </c>
      <c r="C36" s="724"/>
      <c r="D36" s="724"/>
      <c r="E36" s="725">
        <f t="shared" si="0"/>
        <v>0</v>
      </c>
      <c r="F36" s="724"/>
      <c r="G36" s="724"/>
      <c r="H36" s="726">
        <f t="shared" si="1"/>
        <v>0</v>
      </c>
    </row>
    <row r="37" spans="1:8" ht="25.5">
      <c r="A37" s="446">
        <v>9.6999999999999993</v>
      </c>
      <c r="B37" s="448" t="s">
        <v>837</v>
      </c>
      <c r="C37" s="724"/>
      <c r="D37" s="724"/>
      <c r="E37" s="725">
        <f t="shared" si="0"/>
        <v>0</v>
      </c>
      <c r="F37" s="724"/>
      <c r="G37" s="724"/>
      <c r="H37" s="726">
        <f t="shared" si="1"/>
        <v>0</v>
      </c>
    </row>
    <row r="38" spans="1:8" ht="15.75">
      <c r="A38" s="446">
        <v>10</v>
      </c>
      <c r="B38" s="453" t="s">
        <v>838</v>
      </c>
      <c r="C38" s="724">
        <v>20938486.259999998</v>
      </c>
      <c r="D38" s="724">
        <v>11488566.74</v>
      </c>
      <c r="E38" s="725">
        <f t="shared" si="0"/>
        <v>32427053</v>
      </c>
      <c r="F38" s="724">
        <v>18100986.969999999</v>
      </c>
      <c r="G38" s="724">
        <v>7525129.1400000006</v>
      </c>
      <c r="H38" s="726">
        <f t="shared" si="1"/>
        <v>25626116.109999999</v>
      </c>
    </row>
    <row r="39" spans="1:8" ht="34.9" customHeight="1">
      <c r="A39" s="446">
        <v>10.1</v>
      </c>
      <c r="B39" s="448" t="s">
        <v>839</v>
      </c>
      <c r="C39" s="724">
        <v>0</v>
      </c>
      <c r="D39" s="724">
        <v>0</v>
      </c>
      <c r="E39" s="725">
        <f t="shared" si="0"/>
        <v>0</v>
      </c>
      <c r="F39" s="724">
        <v>0</v>
      </c>
      <c r="G39" s="724">
        <v>0</v>
      </c>
      <c r="H39" s="726">
        <f t="shared" si="1"/>
        <v>0</v>
      </c>
    </row>
    <row r="40" spans="1:8" ht="25.5">
      <c r="A40" s="446">
        <v>10.199999999999999</v>
      </c>
      <c r="B40" s="448" t="s">
        <v>840</v>
      </c>
      <c r="C40" s="724">
        <v>0</v>
      </c>
      <c r="D40" s="724">
        <v>0</v>
      </c>
      <c r="E40" s="725">
        <f t="shared" si="0"/>
        <v>0</v>
      </c>
      <c r="F40" s="724">
        <v>0</v>
      </c>
      <c r="G40" s="724">
        <v>0</v>
      </c>
      <c r="H40" s="726">
        <f t="shared" si="1"/>
        <v>0</v>
      </c>
    </row>
    <row r="41" spans="1:8" ht="25.5">
      <c r="A41" s="446">
        <v>10.3</v>
      </c>
      <c r="B41" s="448" t="s">
        <v>841</v>
      </c>
      <c r="C41" s="724">
        <v>11048291.51</v>
      </c>
      <c r="D41" s="724">
        <v>1870154.5799999998</v>
      </c>
      <c r="E41" s="725">
        <f t="shared" si="0"/>
        <v>12918446.09</v>
      </c>
      <c r="F41" s="724">
        <v>11198742.83</v>
      </c>
      <c r="G41" s="724">
        <v>1832711.5200000014</v>
      </c>
      <c r="H41" s="726">
        <f t="shared" si="1"/>
        <v>13031454.350000001</v>
      </c>
    </row>
    <row r="42" spans="1:8" ht="25.5">
      <c r="A42" s="446">
        <v>10.4</v>
      </c>
      <c r="B42" s="448" t="s">
        <v>842</v>
      </c>
      <c r="C42" s="724">
        <v>9890194.75</v>
      </c>
      <c r="D42" s="724">
        <v>9618412.1600000001</v>
      </c>
      <c r="E42" s="725">
        <f t="shared" si="0"/>
        <v>19508606.91</v>
      </c>
      <c r="F42" s="724">
        <v>6902244.1399999997</v>
      </c>
      <c r="G42" s="724">
        <v>5692417.6199999992</v>
      </c>
      <c r="H42" s="726">
        <f t="shared" si="1"/>
        <v>12594661.759999998</v>
      </c>
    </row>
    <row r="43" spans="1:8" ht="15.75">
      <c r="A43" s="446">
        <v>11</v>
      </c>
      <c r="B43" s="454" t="s">
        <v>186</v>
      </c>
      <c r="C43" s="724"/>
      <c r="D43" s="724"/>
      <c r="E43" s="725">
        <f t="shared" si="0"/>
        <v>0</v>
      </c>
      <c r="F43" s="724"/>
      <c r="G43" s="724"/>
      <c r="H43" s="726">
        <f t="shared" si="1"/>
        <v>0</v>
      </c>
    </row>
    <row r="44" spans="1:8" ht="15.75">
      <c r="C44" s="456"/>
      <c r="D44" s="456"/>
      <c r="E44" s="456"/>
      <c r="F44" s="456"/>
      <c r="G44" s="456"/>
      <c r="H44" s="456"/>
    </row>
    <row r="45" spans="1:8" ht="15.75">
      <c r="C45" s="456"/>
      <c r="D45" s="456"/>
      <c r="E45" s="456"/>
      <c r="F45" s="456"/>
      <c r="G45" s="456"/>
      <c r="H45" s="456"/>
    </row>
    <row r="46" spans="1:8" ht="15.75">
      <c r="C46" s="456"/>
      <c r="D46" s="456"/>
      <c r="E46" s="456"/>
      <c r="F46" s="456"/>
      <c r="G46" s="456"/>
      <c r="H46" s="456"/>
    </row>
    <row r="47" spans="1:8" ht="15.75">
      <c r="C47" s="456"/>
      <c r="D47" s="456"/>
      <c r="E47" s="456"/>
      <c r="F47" s="456"/>
      <c r="G47" s="456"/>
      <c r="H47" s="456"/>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B2" sqref="B2"/>
      <selection pane="topRight" activeCell="B2" sqref="B2"/>
      <selection pane="bottomLeft" activeCell="B2" sqref="B2"/>
      <selection pane="bottomRight" activeCell="C7" sqref="C7:G12"/>
    </sheetView>
  </sheetViews>
  <sheetFormatPr defaultColWidth="9.28515625" defaultRowHeight="12.75"/>
  <cols>
    <col min="1" max="1" width="9.5703125" style="2" bestFit="1" customWidth="1"/>
    <col min="2" max="2" width="93.5703125" style="2" customWidth="1"/>
    <col min="3" max="3" width="16.28515625" style="2" customWidth="1"/>
    <col min="4" max="4" width="15.42578125" style="2" customWidth="1"/>
    <col min="5" max="5" width="15.42578125" style="12" customWidth="1"/>
    <col min="6" max="6" width="20.7109375" style="12" customWidth="1"/>
    <col min="7" max="7" width="17.28515625" style="12" customWidth="1"/>
    <col min="8" max="11" width="9.7109375" style="12" customWidth="1"/>
    <col min="12" max="16384" width="9.28515625" style="12"/>
  </cols>
  <sheetData>
    <row r="1" spans="1:8" ht="15">
      <c r="A1" s="17" t="s">
        <v>108</v>
      </c>
      <c r="B1" s="16" t="str">
        <f>Info!C2</f>
        <v>JSC "VTB Bank (Georgia)"</v>
      </c>
      <c r="C1" s="16"/>
      <c r="D1" s="227"/>
    </row>
    <row r="2" spans="1:8" ht="15">
      <c r="A2" s="17" t="s">
        <v>109</v>
      </c>
      <c r="B2" s="337">
        <f>Info!D2</f>
        <v>45565</v>
      </c>
      <c r="C2" s="29"/>
      <c r="D2" s="18"/>
      <c r="E2" s="11"/>
      <c r="F2" s="11"/>
      <c r="G2" s="11"/>
      <c r="H2" s="11"/>
    </row>
    <row r="3" spans="1:8" ht="15.75" thickBot="1">
      <c r="A3" s="17"/>
      <c r="B3" s="16"/>
      <c r="C3" s="29"/>
      <c r="D3" s="18"/>
      <c r="E3" s="11"/>
      <c r="F3" s="11"/>
      <c r="G3" s="11"/>
      <c r="H3" s="11"/>
    </row>
    <row r="4" spans="1:8" s="804" customFormat="1" ht="42" customHeight="1" thickBot="1">
      <c r="A4" s="801" t="s">
        <v>253</v>
      </c>
      <c r="B4" s="802" t="s">
        <v>107</v>
      </c>
      <c r="C4" s="800" t="s">
        <v>87</v>
      </c>
      <c r="D4" s="803"/>
      <c r="F4" s="828" t="s">
        <v>985</v>
      </c>
      <c r="G4" s="829"/>
    </row>
    <row r="5" spans="1:8" ht="15" customHeight="1">
      <c r="A5" s="152" t="s">
        <v>25</v>
      </c>
      <c r="B5" s="153"/>
      <c r="C5" s="327" t="str">
        <f>INT((MONTH($B$2))/3)&amp;"Q"&amp;"-"&amp;YEAR($B$2)</f>
        <v>3Q-2024</v>
      </c>
      <c r="D5" s="327" t="str">
        <f>IF(INT(MONTH($B$2))=3, "4"&amp;"Q"&amp;"-"&amp;YEAR($B$2)-1, IF(INT(MONTH($B$2))=6, "1"&amp;"Q"&amp;"-"&amp;YEAR($B$2), IF(INT(MONTH($B$2))=9, "2"&amp;"Q"&amp;"-"&amp;YEAR($B$2),IF(INT(MONTH($B$2))=12, "3"&amp;"Q"&amp;"-"&amp;YEAR($B$2), 0))))</f>
        <v>2Q-2024</v>
      </c>
      <c r="E5" s="327" t="str">
        <f>IF(INT(MONTH($B$2))=3, "3"&amp;"Q"&amp;"-"&amp;YEAR($B$2)-1, IF(INT(MONTH($B$2))=6, "4"&amp;"Q"&amp;"-"&amp;YEAR($B$2)-1, IF(INT(MONTH($B$2))=9, "1"&amp;"Q"&amp;"-"&amp;YEAR($B$2),IF(INT(MONTH($B$2))=12, "2"&amp;"Q"&amp;"-"&amp;YEAR($B$2), 0))))</f>
        <v>1Q-2024</v>
      </c>
      <c r="F5" s="327" t="str">
        <f>IF(INT(MONTH($B$2))=3, "2"&amp;"Q"&amp;"-"&amp;YEAR($B$2)-1, IF(INT(MONTH($B$2))=6, "3"&amp;"Q"&amp;"-"&amp;YEAR($B$2)-1, IF(INT(MONTH($B$2))=9, "4"&amp;"Q"&amp;"-"&amp;YEAR($B$2)-1,IF(INT(MONTH($B$2))=12, "1"&amp;"Q"&amp;"-"&amp;YEAR($B$2), 0))))</f>
        <v>4Q-2023</v>
      </c>
      <c r="G5" s="327" t="str">
        <f>IF(INT(MONTH($B$2))=3, "1"&amp;"Q"&amp;"-"&amp;YEAR($B$2)-1, IF(INT(MONTH($B$2))=6, "2"&amp;"Q"&amp;"-"&amp;YEAR($B$2)-1, IF(INT(MONTH($B$2))=9, "3"&amp;"Q"&amp;"-"&amp;YEAR($B$2)-1,IF(INT(MONTH($B$2))=12, "4"&amp;"Q"&amp;"-"&amp;YEAR($B$2)-1, 0))))</f>
        <v>3Q-2023</v>
      </c>
    </row>
    <row r="6" spans="1:8" ht="15" customHeight="1">
      <c r="A6" s="263">
        <v>1</v>
      </c>
      <c r="B6" s="313" t="s">
        <v>112</v>
      </c>
      <c r="C6" s="264">
        <f>C7+C9+C10</f>
        <v>300815922.62531</v>
      </c>
      <c r="D6" s="316">
        <f>D7+D9+D10</f>
        <v>310114061.63538712</v>
      </c>
      <c r="E6" s="265">
        <f t="shared" ref="E6:G6" si="0">E7+E9+E10</f>
        <v>305381708.72451621</v>
      </c>
      <c r="F6" s="264">
        <f t="shared" si="0"/>
        <v>309295514.42153382</v>
      </c>
      <c r="G6" s="317">
        <f t="shared" si="0"/>
        <v>262738589</v>
      </c>
    </row>
    <row r="7" spans="1:8" ht="15" customHeight="1">
      <c r="A7" s="263">
        <v>1.1000000000000001</v>
      </c>
      <c r="B7" s="266" t="s">
        <v>436</v>
      </c>
      <c r="C7" s="703">
        <v>300723402.82530999</v>
      </c>
      <c r="D7" s="703">
        <v>310026244.58038962</v>
      </c>
      <c r="E7" s="703">
        <v>305250615.29279292</v>
      </c>
      <c r="F7" s="704">
        <v>309035278.55556041</v>
      </c>
      <c r="G7" s="703">
        <v>252343458</v>
      </c>
    </row>
    <row r="8" spans="1:8" ht="25.5">
      <c r="A8" s="263" t="s">
        <v>157</v>
      </c>
      <c r="B8" s="267" t="s">
        <v>250</v>
      </c>
      <c r="C8" s="703">
        <v>0</v>
      </c>
      <c r="D8" s="703">
        <v>0</v>
      </c>
      <c r="E8" s="703">
        <v>0</v>
      </c>
      <c r="F8" s="704">
        <v>0</v>
      </c>
      <c r="G8" s="703">
        <v>0</v>
      </c>
    </row>
    <row r="9" spans="1:8" ht="15" customHeight="1">
      <c r="A9" s="263">
        <v>1.2</v>
      </c>
      <c r="B9" s="266" t="s">
        <v>21</v>
      </c>
      <c r="C9" s="703">
        <v>92519.8</v>
      </c>
      <c r="D9" s="703">
        <v>87817.054997499916</v>
      </c>
      <c r="E9" s="703">
        <v>131093.43172326882</v>
      </c>
      <c r="F9" s="704">
        <v>260235.86597339273</v>
      </c>
      <c r="G9" s="703">
        <v>10395131</v>
      </c>
    </row>
    <row r="10" spans="1:8" ht="15" customHeight="1">
      <c r="A10" s="263">
        <v>1.3</v>
      </c>
      <c r="B10" s="314" t="s">
        <v>74</v>
      </c>
      <c r="C10" s="705">
        <v>0</v>
      </c>
      <c r="D10" s="705">
        <v>0</v>
      </c>
      <c r="E10" s="705">
        <v>0</v>
      </c>
      <c r="F10" s="704">
        <v>0</v>
      </c>
      <c r="G10" s="705">
        <v>0</v>
      </c>
    </row>
    <row r="11" spans="1:8" ht="15" customHeight="1">
      <c r="A11" s="263">
        <v>2</v>
      </c>
      <c r="B11" s="313" t="s">
        <v>113</v>
      </c>
      <c r="C11" s="703">
        <v>188868827.36185053</v>
      </c>
      <c r="D11" s="703">
        <v>190200488.01198363</v>
      </c>
      <c r="E11" s="703">
        <v>181081494.18333694</v>
      </c>
      <c r="F11" s="704">
        <v>180456807.7795555</v>
      </c>
      <c r="G11" s="703">
        <v>169667044</v>
      </c>
    </row>
    <row r="12" spans="1:8" ht="15" customHeight="1">
      <c r="A12" s="277">
        <v>3</v>
      </c>
      <c r="B12" s="315" t="s">
        <v>111</v>
      </c>
      <c r="C12" s="705">
        <v>94935796.149143949</v>
      </c>
      <c r="D12" s="705">
        <v>94935796.149143949</v>
      </c>
      <c r="E12" s="705">
        <v>94935796.149143949</v>
      </c>
      <c r="F12" s="704">
        <v>94935796.149143949</v>
      </c>
      <c r="G12" s="705">
        <v>127656077</v>
      </c>
    </row>
    <row r="13" spans="1:8" ht="15" customHeight="1" thickBot="1">
      <c r="A13" s="85">
        <v>4</v>
      </c>
      <c r="B13" s="320" t="s">
        <v>158</v>
      </c>
      <c r="C13" s="171">
        <f>C6+C11+C12</f>
        <v>584620546.1363045</v>
      </c>
      <c r="D13" s="318">
        <f>D6+D11+D12</f>
        <v>595250345.79651475</v>
      </c>
      <c r="E13" s="172">
        <f t="shared" ref="E13:G13" si="1">E6+E11+E12</f>
        <v>581398999.05699706</v>
      </c>
      <c r="F13" s="171">
        <f t="shared" si="1"/>
        <v>584688118.35023332</v>
      </c>
      <c r="G13" s="319">
        <f t="shared" si="1"/>
        <v>560061710</v>
      </c>
    </row>
    <row r="14" spans="1:8">
      <c r="B14" s="23"/>
      <c r="C14" s="661">
        <f>C13-'1. key ratios'!C15</f>
        <v>0</v>
      </c>
      <c r="D14" s="661">
        <f>D13-'1. key ratios'!D15</f>
        <v>0</v>
      </c>
      <c r="E14" s="661">
        <f>E13-'1. key ratios'!E15</f>
        <v>0</v>
      </c>
      <c r="F14" s="661"/>
    </row>
    <row r="15" spans="1:8" ht="25.5">
      <c r="B15" s="66" t="s">
        <v>437</v>
      </c>
    </row>
    <row r="16" spans="1:8">
      <c r="B16" s="66"/>
    </row>
    <row r="17" spans="2:2" ht="25.5">
      <c r="B17" s="66" t="s">
        <v>984</v>
      </c>
    </row>
    <row r="18" spans="2:2">
      <c r="B18" s="66"/>
    </row>
  </sheetData>
  <mergeCells count="1">
    <mergeCell ref="F4:G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31" activePane="bottomRight" state="frozen"/>
      <selection activeCell="B2" sqref="B2"/>
      <selection pane="topRight" activeCell="B2" sqref="B2"/>
      <selection pane="bottomLeft" activeCell="B2" sqref="B2"/>
      <selection pane="bottomRight" activeCell="B51" sqref="B51"/>
    </sheetView>
  </sheetViews>
  <sheetFormatPr defaultRowHeight="15"/>
  <cols>
    <col min="1" max="1" width="9.5703125" style="2" bestFit="1" customWidth="1"/>
    <col min="2" max="2" width="58.7109375" style="2" customWidth="1"/>
    <col min="3" max="3" width="34.28515625" style="2" customWidth="1"/>
  </cols>
  <sheetData>
    <row r="1" spans="1:8">
      <c r="A1" s="2" t="s">
        <v>108</v>
      </c>
      <c r="B1" s="227" t="str">
        <f>Info!C2</f>
        <v>JSC "VTB Bank (Georgia)"</v>
      </c>
    </row>
    <row r="2" spans="1:8">
      <c r="A2" s="2" t="s">
        <v>109</v>
      </c>
      <c r="B2" s="337">
        <f>Info!D2</f>
        <v>45565</v>
      </c>
    </row>
    <row r="4" spans="1:8" ht="25.5" customHeight="1" thickBot="1">
      <c r="A4" s="165" t="s">
        <v>254</v>
      </c>
      <c r="B4" s="31" t="s">
        <v>91</v>
      </c>
      <c r="C4" s="13"/>
    </row>
    <row r="5" spans="1:8" ht="15.75">
      <c r="A5" s="10"/>
      <c r="B5" s="308" t="s">
        <v>92</v>
      </c>
      <c r="C5" s="325" t="s">
        <v>450</v>
      </c>
    </row>
    <row r="6" spans="1:8">
      <c r="A6" s="672">
        <v>1</v>
      </c>
      <c r="B6" s="671" t="s">
        <v>964</v>
      </c>
      <c r="C6" s="670" t="s">
        <v>965</v>
      </c>
    </row>
    <row r="7" spans="1:8">
      <c r="A7" s="672">
        <v>2</v>
      </c>
      <c r="B7" s="671" t="s">
        <v>966</v>
      </c>
      <c r="C7" s="670" t="s">
        <v>967</v>
      </c>
    </row>
    <row r="8" spans="1:8">
      <c r="A8" s="672">
        <v>3</v>
      </c>
      <c r="B8" s="671" t="s">
        <v>968</v>
      </c>
      <c r="C8" s="670" t="s">
        <v>967</v>
      </c>
    </row>
    <row r="9" spans="1:8">
      <c r="A9" s="672">
        <v>4</v>
      </c>
      <c r="B9" s="671" t="s">
        <v>987</v>
      </c>
      <c r="C9" s="670" t="s">
        <v>967</v>
      </c>
    </row>
    <row r="10" spans="1:8">
      <c r="A10" s="14">
        <v>5</v>
      </c>
      <c r="B10" s="32"/>
      <c r="C10" s="321"/>
    </row>
    <row r="11" spans="1:8">
      <c r="A11" s="14">
        <v>6</v>
      </c>
      <c r="B11" s="32"/>
      <c r="C11" s="321"/>
    </row>
    <row r="12" spans="1:8">
      <c r="A12" s="14">
        <v>7</v>
      </c>
      <c r="B12" s="32"/>
      <c r="C12" s="321"/>
      <c r="H12" s="4"/>
    </row>
    <row r="13" spans="1:8">
      <c r="A13" s="14">
        <v>8</v>
      </c>
      <c r="B13" s="32"/>
      <c r="C13" s="321"/>
    </row>
    <row r="14" spans="1:8">
      <c r="A14" s="14">
        <v>9</v>
      </c>
      <c r="B14" s="32"/>
      <c r="C14" s="321"/>
    </row>
    <row r="15" spans="1:8">
      <c r="A15" s="14">
        <v>10</v>
      </c>
      <c r="B15" s="32"/>
      <c r="C15" s="321"/>
    </row>
    <row r="16" spans="1:8">
      <c r="A16" s="14"/>
      <c r="B16" s="830"/>
      <c r="C16" s="831"/>
    </row>
    <row r="17" spans="1:3" ht="60">
      <c r="A17" s="14"/>
      <c r="B17" s="309" t="s">
        <v>93</v>
      </c>
      <c r="C17" s="326" t="s">
        <v>451</v>
      </c>
    </row>
    <row r="18" spans="1:3" ht="15.75">
      <c r="A18" s="672">
        <v>1</v>
      </c>
      <c r="B18" s="669" t="s">
        <v>969</v>
      </c>
      <c r="C18" s="668" t="s">
        <v>970</v>
      </c>
    </row>
    <row r="19" spans="1:3" ht="15.75">
      <c r="A19" s="672">
        <v>2</v>
      </c>
      <c r="B19" s="669" t="s">
        <v>971</v>
      </c>
      <c r="C19" s="668" t="s">
        <v>972</v>
      </c>
    </row>
    <row r="20" spans="1:3" ht="15.75">
      <c r="A20" s="672">
        <v>3</v>
      </c>
      <c r="B20" s="669" t="s">
        <v>973</v>
      </c>
      <c r="C20" s="668" t="s">
        <v>974</v>
      </c>
    </row>
    <row r="21" spans="1:3" ht="15.75">
      <c r="A21" s="672">
        <v>4</v>
      </c>
      <c r="B21" s="669" t="s">
        <v>975</v>
      </c>
      <c r="C21" s="668" t="s">
        <v>976</v>
      </c>
    </row>
    <row r="22" spans="1:3" ht="15.75">
      <c r="A22" s="672">
        <v>5</v>
      </c>
      <c r="B22" s="669" t="s">
        <v>977</v>
      </c>
      <c r="C22" s="668" t="s">
        <v>978</v>
      </c>
    </row>
    <row r="23" spans="1:3" ht="15.75">
      <c r="A23" s="672">
        <v>6</v>
      </c>
      <c r="B23" s="669" t="s">
        <v>979</v>
      </c>
      <c r="C23" s="668" t="s">
        <v>980</v>
      </c>
    </row>
    <row r="24" spans="1:3" ht="15.75">
      <c r="A24" s="14">
        <v>7</v>
      </c>
      <c r="B24" s="27"/>
      <c r="C24" s="323"/>
    </row>
    <row r="25" spans="1:3" ht="15.75">
      <c r="A25" s="14">
        <v>8</v>
      </c>
      <c r="B25" s="27"/>
      <c r="C25" s="323"/>
    </row>
    <row r="26" spans="1:3" ht="15.75">
      <c r="A26" s="14">
        <v>9</v>
      </c>
      <c r="B26" s="27"/>
      <c r="C26" s="323"/>
    </row>
    <row r="27" spans="1:3" ht="15.75" customHeight="1">
      <c r="A27" s="14">
        <v>10</v>
      </c>
      <c r="B27" s="27"/>
      <c r="C27" s="324"/>
    </row>
    <row r="28" spans="1:3" ht="15.75" customHeight="1">
      <c r="A28" s="14"/>
      <c r="B28" s="27"/>
      <c r="C28" s="28"/>
    </row>
    <row r="29" spans="1:3" ht="30" customHeight="1">
      <c r="A29" s="14"/>
      <c r="B29" s="832" t="s">
        <v>94</v>
      </c>
      <c r="C29" s="833"/>
    </row>
    <row r="30" spans="1:3">
      <c r="A30" s="14">
        <v>1</v>
      </c>
      <c r="B30" s="671" t="s">
        <v>981</v>
      </c>
      <c r="C30" s="667">
        <v>0.97384321770185212</v>
      </c>
    </row>
    <row r="31" spans="1:3" ht="15.75" customHeight="1">
      <c r="A31" s="14">
        <v>2</v>
      </c>
      <c r="B31" s="671" t="s">
        <v>982</v>
      </c>
      <c r="C31" s="667">
        <v>1.472765597699272E-2</v>
      </c>
    </row>
    <row r="32" spans="1:3" ht="29.25" customHeight="1">
      <c r="A32" s="14"/>
      <c r="B32" s="832" t="s">
        <v>174</v>
      </c>
      <c r="C32" s="833"/>
    </row>
    <row r="33" spans="1:3">
      <c r="A33" s="14">
        <v>1</v>
      </c>
      <c r="B33" s="671" t="s">
        <v>983</v>
      </c>
      <c r="C33" s="666">
        <v>0.60183510853974465</v>
      </c>
    </row>
    <row r="34" spans="1:3" ht="16.5" thickBot="1">
      <c r="A34" s="15"/>
      <c r="B34" s="33"/>
      <c r="C34" s="322"/>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zoomScale="70" zoomScaleNormal="70" workbookViewId="0">
      <pane xSplit="1" ySplit="5" topLeftCell="B6" activePane="bottomRight" state="frozen"/>
      <selection activeCell="B2" sqref="B2"/>
      <selection pane="topRight" activeCell="B2" sqref="B2"/>
      <selection pane="bottomLeft" activeCell="B2" sqref="B2"/>
      <selection pane="bottomRight" activeCell="C8" sqref="C8:E36"/>
    </sheetView>
  </sheetViews>
  <sheetFormatPr defaultRowHeight="15"/>
  <cols>
    <col min="1" max="1" width="9.5703125" style="2" bestFit="1" customWidth="1"/>
    <col min="2" max="2" width="47.5703125" style="2" customWidth="1"/>
    <col min="3" max="3" width="28" style="2" customWidth="1"/>
    <col min="4" max="4" width="25.7109375" style="2" customWidth="1"/>
    <col min="5" max="5" width="18.7109375" style="2" customWidth="1"/>
    <col min="6" max="6" width="12" bestFit="1" customWidth="1"/>
    <col min="7" max="7" width="12.5703125" bestFit="1" customWidth="1"/>
  </cols>
  <sheetData>
    <row r="1" spans="1:7" ht="15.75">
      <c r="A1" s="17" t="s">
        <v>108</v>
      </c>
      <c r="B1" s="16" t="str">
        <f>Info!C2</f>
        <v>JSC "VTB Bank (Georgia)"</v>
      </c>
    </row>
    <row r="2" spans="1:7" s="21" customFormat="1" ht="15.75" customHeight="1">
      <c r="A2" s="21" t="s">
        <v>109</v>
      </c>
      <c r="B2" s="337">
        <f>Info!D2</f>
        <v>45565</v>
      </c>
    </row>
    <row r="3" spans="1:7" s="21" customFormat="1" ht="15.75" customHeight="1"/>
    <row r="4" spans="1:7" s="21" customFormat="1" ht="15.75" customHeight="1" thickBot="1">
      <c r="A4" s="166" t="s">
        <v>255</v>
      </c>
      <c r="B4" s="167" t="s">
        <v>168</v>
      </c>
      <c r="C4" s="134"/>
      <c r="D4" s="134"/>
      <c r="E4" s="135" t="s">
        <v>87</v>
      </c>
    </row>
    <row r="5" spans="1:7" s="81" customFormat="1" ht="17.850000000000001" customHeight="1">
      <c r="A5" s="239"/>
      <c r="B5" s="240"/>
      <c r="C5" s="133" t="s">
        <v>0</v>
      </c>
      <c r="D5" s="133" t="s">
        <v>1</v>
      </c>
      <c r="E5" s="241" t="s">
        <v>2</v>
      </c>
    </row>
    <row r="6" spans="1:7" s="101" customFormat="1" ht="14.85" customHeight="1">
      <c r="A6" s="242"/>
      <c r="B6" s="834" t="s">
        <v>144</v>
      </c>
      <c r="C6" s="834" t="s">
        <v>856</v>
      </c>
      <c r="D6" s="835" t="s">
        <v>143</v>
      </c>
      <c r="E6" s="836"/>
      <c r="G6"/>
    </row>
    <row r="7" spans="1:7" s="101" customFormat="1" ht="99.6" customHeight="1">
      <c r="A7" s="242"/>
      <c r="B7" s="834"/>
      <c r="C7" s="834"/>
      <c r="D7" s="237" t="s">
        <v>142</v>
      </c>
      <c r="E7" s="238" t="s">
        <v>353</v>
      </c>
      <c r="G7"/>
    </row>
    <row r="8" spans="1:7" s="101" customFormat="1" ht="22.5" customHeight="1">
      <c r="A8" s="458">
        <v>1</v>
      </c>
      <c r="B8" s="403" t="s">
        <v>843</v>
      </c>
      <c r="C8" s="746">
        <f>SUM(C9:C11)</f>
        <v>173936192.83510002</v>
      </c>
      <c r="D8" s="746">
        <f t="shared" ref="D8:E8" si="0">SUM(D9:D11)</f>
        <v>0</v>
      </c>
      <c r="E8" s="746">
        <f t="shared" si="0"/>
        <v>173936192.83510002</v>
      </c>
      <c r="G8"/>
    </row>
    <row r="9" spans="1:7" s="101" customFormat="1">
      <c r="A9" s="458">
        <v>1.1000000000000001</v>
      </c>
      <c r="B9" s="404" t="s">
        <v>96</v>
      </c>
      <c r="C9" s="746">
        <f>'2. SOFP'!E8</f>
        <v>166906935.21920002</v>
      </c>
      <c r="D9" s="746">
        <v>0</v>
      </c>
      <c r="E9" s="746">
        <f>C9-D9</f>
        <v>166906935.21920002</v>
      </c>
      <c r="G9"/>
    </row>
    <row r="10" spans="1:7" s="101" customFormat="1">
      <c r="A10" s="458">
        <v>1.2</v>
      </c>
      <c r="B10" s="404" t="s">
        <v>97</v>
      </c>
      <c r="C10" s="746">
        <f>'2. SOFP'!E9</f>
        <v>351.36</v>
      </c>
      <c r="D10" s="746">
        <v>0</v>
      </c>
      <c r="E10" s="746">
        <f t="shared" ref="E10:E15" si="1">C10-D10</f>
        <v>351.36</v>
      </c>
      <c r="G10"/>
    </row>
    <row r="11" spans="1:7" s="101" customFormat="1">
      <c r="A11" s="458">
        <v>1.3</v>
      </c>
      <c r="B11" s="404" t="s">
        <v>98</v>
      </c>
      <c r="C11" s="746">
        <f>'2. SOFP'!E10</f>
        <v>7028906.2559000002</v>
      </c>
      <c r="D11" s="746">
        <v>0</v>
      </c>
      <c r="E11" s="746">
        <f t="shared" si="1"/>
        <v>7028906.2559000002</v>
      </c>
      <c r="G11"/>
    </row>
    <row r="12" spans="1:7" s="101" customFormat="1">
      <c r="A12" s="458">
        <v>2</v>
      </c>
      <c r="B12" s="405" t="s">
        <v>730</v>
      </c>
      <c r="C12" s="746"/>
      <c r="D12" s="746"/>
      <c r="E12" s="746">
        <f t="shared" si="1"/>
        <v>0</v>
      </c>
      <c r="G12"/>
    </row>
    <row r="13" spans="1:7" s="101" customFormat="1" ht="21">
      <c r="A13" s="458">
        <v>2.1</v>
      </c>
      <c r="B13" s="406" t="s">
        <v>731</v>
      </c>
      <c r="C13" s="746"/>
      <c r="D13" s="746"/>
      <c r="E13" s="746">
        <f t="shared" si="1"/>
        <v>0</v>
      </c>
      <c r="G13"/>
    </row>
    <row r="14" spans="1:7" s="101" customFormat="1" ht="34.35" customHeight="1">
      <c r="A14" s="458">
        <v>3</v>
      </c>
      <c r="B14" s="407" t="s">
        <v>732</v>
      </c>
      <c r="C14" s="746"/>
      <c r="D14" s="746"/>
      <c r="E14" s="746">
        <f t="shared" si="1"/>
        <v>0</v>
      </c>
      <c r="G14"/>
    </row>
    <row r="15" spans="1:7" s="101" customFormat="1" ht="32.85" customHeight="1">
      <c r="A15" s="458">
        <v>4</v>
      </c>
      <c r="B15" s="408" t="s">
        <v>733</v>
      </c>
      <c r="C15" s="746"/>
      <c r="D15" s="746"/>
      <c r="E15" s="746">
        <f t="shared" si="1"/>
        <v>0</v>
      </c>
      <c r="G15"/>
    </row>
    <row r="16" spans="1:7" s="101" customFormat="1" ht="23.1" customHeight="1">
      <c r="A16" s="458">
        <v>5</v>
      </c>
      <c r="B16" s="408" t="s">
        <v>734</v>
      </c>
      <c r="C16" s="746">
        <f>SUM(C17:C19)</f>
        <v>0</v>
      </c>
      <c r="D16" s="746">
        <f t="shared" ref="D16:E16" si="2">SUM(D17:D19)</f>
        <v>0</v>
      </c>
      <c r="E16" s="746">
        <f t="shared" si="2"/>
        <v>0</v>
      </c>
      <c r="G16"/>
    </row>
    <row r="17" spans="1:7" s="101" customFormat="1">
      <c r="A17" s="458">
        <v>5.0999999999999996</v>
      </c>
      <c r="B17" s="409" t="s">
        <v>735</v>
      </c>
      <c r="C17" s="746"/>
      <c r="D17" s="746"/>
      <c r="E17" s="746">
        <f t="shared" ref="E17:E19" si="3">C17-D17</f>
        <v>0</v>
      </c>
      <c r="G17"/>
    </row>
    <row r="18" spans="1:7" s="101" customFormat="1">
      <c r="A18" s="458">
        <v>5.2</v>
      </c>
      <c r="B18" s="409" t="s">
        <v>569</v>
      </c>
      <c r="C18" s="746"/>
      <c r="D18" s="746"/>
      <c r="E18" s="746">
        <f t="shared" si="3"/>
        <v>0</v>
      </c>
      <c r="G18"/>
    </row>
    <row r="19" spans="1:7" s="101" customFormat="1">
      <c r="A19" s="458">
        <v>5.3</v>
      </c>
      <c r="B19" s="409" t="s">
        <v>736</v>
      </c>
      <c r="C19" s="746"/>
      <c r="D19" s="746"/>
      <c r="E19" s="746">
        <f t="shared" si="3"/>
        <v>0</v>
      </c>
      <c r="G19"/>
    </row>
    <row r="20" spans="1:7" s="101" customFormat="1" ht="21">
      <c r="A20" s="458">
        <v>6</v>
      </c>
      <c r="B20" s="407" t="s">
        <v>737</v>
      </c>
      <c r="C20" s="746">
        <f>SUM(C21:C22)</f>
        <v>180313674.45630395</v>
      </c>
      <c r="D20" s="746">
        <f t="shared" ref="D20" si="4">SUM(D21:D22)</f>
        <v>0</v>
      </c>
      <c r="E20" s="746">
        <f>SUM(E21:E22)</f>
        <v>180313674.45630395</v>
      </c>
      <c r="G20"/>
    </row>
    <row r="21" spans="1:7">
      <c r="A21" s="458">
        <v>6.1</v>
      </c>
      <c r="B21" s="409" t="s">
        <v>569</v>
      </c>
      <c r="C21" s="747"/>
      <c r="D21" s="747"/>
      <c r="E21" s="747"/>
    </row>
    <row r="22" spans="1:7">
      <c r="A22" s="458">
        <v>6.2</v>
      </c>
      <c r="B22" s="409" t="s">
        <v>736</v>
      </c>
      <c r="C22" s="747">
        <f>'2. SOFP'!E19</f>
        <v>180313674.45630395</v>
      </c>
      <c r="D22" s="747">
        <v>0</v>
      </c>
      <c r="E22" s="746">
        <f t="shared" ref="E22:E23" si="5">C22-D22</f>
        <v>180313674.45630395</v>
      </c>
    </row>
    <row r="23" spans="1:7" ht="21">
      <c r="A23" s="458">
        <v>7</v>
      </c>
      <c r="B23" s="410" t="s">
        <v>738</v>
      </c>
      <c r="C23" s="747">
        <f>'2. SOFP'!E22</f>
        <v>54000</v>
      </c>
      <c r="D23" s="747">
        <v>0</v>
      </c>
      <c r="E23" s="746">
        <f t="shared" si="5"/>
        <v>54000</v>
      </c>
    </row>
    <row r="24" spans="1:7" ht="21">
      <c r="A24" s="458">
        <v>8</v>
      </c>
      <c r="B24" s="411" t="s">
        <v>739</v>
      </c>
      <c r="C24" s="747"/>
      <c r="D24" s="747"/>
      <c r="E24" s="747"/>
    </row>
    <row r="25" spans="1:7">
      <c r="A25" s="458">
        <v>9</v>
      </c>
      <c r="B25" s="408" t="s">
        <v>740</v>
      </c>
      <c r="C25" s="747">
        <f>SUM(C26:C27)</f>
        <v>61688377.610000014</v>
      </c>
      <c r="D25" s="747">
        <f t="shared" ref="D25:E25" si="6">SUM(D26:D27)</f>
        <v>0</v>
      </c>
      <c r="E25" s="747">
        <f t="shared" si="6"/>
        <v>61688377.610000014</v>
      </c>
    </row>
    <row r="26" spans="1:7">
      <c r="A26" s="458">
        <v>9.1</v>
      </c>
      <c r="B26" s="412" t="s">
        <v>741</v>
      </c>
      <c r="C26" s="747">
        <v>33613388.479999997</v>
      </c>
      <c r="D26" s="747"/>
      <c r="E26" s="746">
        <f t="shared" ref="E26:E27" si="7">C26-D26</f>
        <v>33613388.479999997</v>
      </c>
    </row>
    <row r="27" spans="1:7">
      <c r="A27" s="458">
        <v>9.1999999999999993</v>
      </c>
      <c r="B27" s="412" t="s">
        <v>742</v>
      </c>
      <c r="C27" s="747">
        <v>28074989.130000018</v>
      </c>
      <c r="D27" s="747"/>
      <c r="E27" s="746">
        <f t="shared" si="7"/>
        <v>28074989.130000018</v>
      </c>
    </row>
    <row r="28" spans="1:7">
      <c r="A28" s="458">
        <v>10</v>
      </c>
      <c r="B28" s="408" t="s">
        <v>36</v>
      </c>
      <c r="C28" s="747">
        <f>SUM(C29:C30)</f>
        <v>1067767.3400000001</v>
      </c>
      <c r="D28" s="747">
        <f t="shared" ref="D28:E28" si="8">SUM(D29:D30)</f>
        <v>1067767.3400000001</v>
      </c>
      <c r="E28" s="747">
        <f t="shared" si="8"/>
        <v>0</v>
      </c>
    </row>
    <row r="29" spans="1:7">
      <c r="A29" s="458">
        <v>10.1</v>
      </c>
      <c r="B29" s="412" t="s">
        <v>743</v>
      </c>
      <c r="C29" s="747"/>
      <c r="D29" s="747"/>
      <c r="E29" s="746">
        <f>C29-D29</f>
        <v>0</v>
      </c>
    </row>
    <row r="30" spans="1:7">
      <c r="A30" s="458">
        <v>10.199999999999999</v>
      </c>
      <c r="B30" s="412" t="s">
        <v>744</v>
      </c>
      <c r="C30" s="747">
        <v>1067767.3400000001</v>
      </c>
      <c r="D30" s="747">
        <f>C30</f>
        <v>1067767.3400000001</v>
      </c>
      <c r="E30" s="746">
        <f>C30-D30</f>
        <v>0</v>
      </c>
    </row>
    <row r="31" spans="1:7">
      <c r="A31" s="458">
        <v>11</v>
      </c>
      <c r="B31" s="408" t="s">
        <v>745</v>
      </c>
      <c r="C31" s="747">
        <f>SUM(C32:C33)</f>
        <v>958167.91</v>
      </c>
      <c r="D31" s="747">
        <f t="shared" ref="D31:E31" si="9">SUM(D32:D33)</f>
        <v>0</v>
      </c>
      <c r="E31" s="747">
        <f t="shared" si="9"/>
        <v>958167.91</v>
      </c>
    </row>
    <row r="32" spans="1:7">
      <c r="A32" s="458">
        <v>11.1</v>
      </c>
      <c r="B32" s="412" t="s">
        <v>746</v>
      </c>
      <c r="C32" s="747">
        <v>958167.91</v>
      </c>
      <c r="D32" s="747"/>
      <c r="E32" s="746">
        <f t="shared" ref="E32:E35" si="10">C32-D32</f>
        <v>958167.91</v>
      </c>
    </row>
    <row r="33" spans="1:7">
      <c r="A33" s="458">
        <v>11.2</v>
      </c>
      <c r="B33" s="412" t="s">
        <v>747</v>
      </c>
      <c r="C33" s="747"/>
      <c r="D33" s="747"/>
      <c r="E33" s="746">
        <f t="shared" si="10"/>
        <v>0</v>
      </c>
    </row>
    <row r="34" spans="1:7">
      <c r="A34" s="458">
        <v>13</v>
      </c>
      <c r="B34" s="408" t="s">
        <v>99</v>
      </c>
      <c r="C34" s="747">
        <v>40263947.476000011</v>
      </c>
      <c r="D34" s="747"/>
      <c r="E34" s="746">
        <f t="shared" si="10"/>
        <v>40263947.476000011</v>
      </c>
    </row>
    <row r="35" spans="1:7">
      <c r="A35" s="458">
        <v>13.1</v>
      </c>
      <c r="B35" s="413" t="s">
        <v>748</v>
      </c>
      <c r="C35" s="747">
        <v>22019563</v>
      </c>
      <c r="D35" s="747"/>
      <c r="E35" s="746">
        <f t="shared" si="10"/>
        <v>22019563</v>
      </c>
    </row>
    <row r="36" spans="1:7">
      <c r="A36" s="458">
        <v>13.2</v>
      </c>
      <c r="B36" s="413" t="s">
        <v>749</v>
      </c>
      <c r="C36" s="460"/>
      <c r="D36" s="460"/>
      <c r="E36" s="459">
        <f t="shared" ref="E36" si="11">C36-D36</f>
        <v>0</v>
      </c>
    </row>
    <row r="37" spans="1:7" ht="51.75" thickBot="1">
      <c r="A37" s="243"/>
      <c r="B37" s="244" t="s">
        <v>320</v>
      </c>
      <c r="C37" s="203">
        <f>SUM(C8,C12,C14,C15,C16,C20,C23,C24,C25,C28,C31,C34)</f>
        <v>458282127.62740403</v>
      </c>
      <c r="D37" s="203">
        <f t="shared" ref="D37:E37" si="12">SUM(D8,D12,D14,D15,D16,D20,D23,D24,D25,D28,D31,D34)</f>
        <v>1067767.3400000001</v>
      </c>
      <c r="E37" s="203">
        <f t="shared" si="12"/>
        <v>457214360.28740406</v>
      </c>
    </row>
    <row r="38" spans="1:7">
      <c r="A38"/>
      <c r="B38"/>
      <c r="C38" s="660">
        <f>C37-'2. SOFP'!E36</f>
        <v>0</v>
      </c>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70" zoomScaleNormal="70" workbookViewId="0">
      <pane xSplit="1" ySplit="4" topLeftCell="B5" activePane="bottomRight" state="frozen"/>
      <selection activeCell="B2" sqref="B2"/>
      <selection pane="topRight" activeCell="B2" sqref="B2"/>
      <selection pane="bottomLeft" activeCell="B2" sqref="B2"/>
      <selection pane="bottomRight" activeCell="C13" sqref="C13"/>
    </sheetView>
  </sheetViews>
  <sheetFormatPr defaultRowHeight="15" outlineLevelRow="1"/>
  <cols>
    <col min="1" max="1" width="9.5703125" style="2" bestFit="1" customWidth="1"/>
    <col min="2" max="2" width="114.28515625" style="2" customWidth="1"/>
    <col min="3" max="3" width="18.71093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108</v>
      </c>
      <c r="B1" s="16" t="str">
        <f>Info!C2</f>
        <v>JSC "VTB Bank (Georgia)"</v>
      </c>
    </row>
    <row r="2" spans="1:6" s="21" customFormat="1" ht="15.75" customHeight="1">
      <c r="A2" s="21" t="s">
        <v>109</v>
      </c>
      <c r="B2" s="337">
        <f>Info!D2</f>
        <v>45565</v>
      </c>
      <c r="C2"/>
      <c r="D2"/>
      <c r="E2"/>
      <c r="F2"/>
    </row>
    <row r="3" spans="1:6" s="21" customFormat="1" ht="15.75" customHeight="1">
      <c r="C3"/>
      <c r="D3"/>
      <c r="E3"/>
      <c r="F3"/>
    </row>
    <row r="4" spans="1:6" s="21" customFormat="1" ht="26.25" thickBot="1">
      <c r="A4" s="21" t="s">
        <v>256</v>
      </c>
      <c r="B4" s="141" t="s">
        <v>171</v>
      </c>
      <c r="C4" s="135" t="s">
        <v>87</v>
      </c>
      <c r="D4"/>
      <c r="E4"/>
      <c r="F4"/>
    </row>
    <row r="5" spans="1:6" ht="26.25">
      <c r="A5" s="136">
        <v>1</v>
      </c>
      <c r="B5" s="137" t="s">
        <v>727</v>
      </c>
      <c r="C5" s="173">
        <f>'7. LI1'!E37</f>
        <v>457214360.28740406</v>
      </c>
    </row>
    <row r="6" spans="1:6" s="126" customFormat="1">
      <c r="A6" s="80">
        <v>2.1</v>
      </c>
      <c r="B6" s="143" t="s">
        <v>861</v>
      </c>
      <c r="C6" s="174">
        <v>207823.25584563354</v>
      </c>
    </row>
    <row r="7" spans="1:6" s="4" customFormat="1" ht="25.5" outlineLevel="1">
      <c r="A7" s="142">
        <v>2.2000000000000002</v>
      </c>
      <c r="B7" s="138" t="s">
        <v>862</v>
      </c>
      <c r="C7" s="175"/>
    </row>
    <row r="8" spans="1:6" s="4" customFormat="1" ht="26.25">
      <c r="A8" s="142">
        <v>3</v>
      </c>
      <c r="B8" s="139" t="s">
        <v>728</v>
      </c>
      <c r="C8" s="176">
        <f>SUM(C5:C7)</f>
        <v>457422183.54324967</v>
      </c>
    </row>
    <row r="9" spans="1:6" s="126" customFormat="1">
      <c r="A9" s="80">
        <v>4</v>
      </c>
      <c r="B9" s="146" t="s">
        <v>169</v>
      </c>
      <c r="C9" s="174"/>
    </row>
    <row r="10" spans="1:6" s="4" customFormat="1" ht="25.5" outlineLevel="1">
      <c r="A10" s="142">
        <v>5.0999999999999996</v>
      </c>
      <c r="B10" s="138" t="s">
        <v>175</v>
      </c>
      <c r="C10" s="175">
        <v>-94139</v>
      </c>
    </row>
    <row r="11" spans="1:6" s="4" customFormat="1" ht="25.5" outlineLevel="1">
      <c r="A11" s="142">
        <v>5.2</v>
      </c>
      <c r="B11" s="138" t="s">
        <v>176</v>
      </c>
      <c r="C11" s="175"/>
    </row>
    <row r="12" spans="1:6" s="4" customFormat="1">
      <c r="A12" s="142">
        <v>6</v>
      </c>
      <c r="B12" s="144" t="s">
        <v>438</v>
      </c>
      <c r="C12" s="245"/>
    </row>
    <row r="13" spans="1:6" s="4" customFormat="1" ht="15.75" thickBot="1">
      <c r="A13" s="145">
        <v>7</v>
      </c>
      <c r="B13" s="140" t="s">
        <v>170</v>
      </c>
      <c r="C13" s="177">
        <f>SUM(C8:C12)</f>
        <v>457328044.54324967</v>
      </c>
      <c r="D13" s="659"/>
    </row>
    <row r="15" spans="1:6" ht="26.25">
      <c r="B15" s="23" t="s">
        <v>439</v>
      </c>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2024-10-30T18:07:25Z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