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395" windowHeight="10395" tabRatio="89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91029" calcOnSave="0"/>
</workbook>
</file>

<file path=xl/calcChain.xml><?xml version="1.0" encoding="utf-8"?>
<calcChain xmlns="http://schemas.openxmlformats.org/spreadsheetml/2006/main">
  <c r="D36" i="97" l="1"/>
  <c r="H69" i="92" l="1"/>
  <c r="E69" i="92"/>
  <c r="H68" i="92"/>
  <c r="E68" i="92"/>
  <c r="H67" i="92"/>
  <c r="E67" i="92"/>
  <c r="H66" i="92"/>
  <c r="E66" i="92"/>
  <c r="H65" i="92"/>
  <c r="E65" i="92"/>
  <c r="H64" i="92"/>
  <c r="E64" i="92"/>
  <c r="H63" i="92"/>
  <c r="E63" i="92"/>
  <c r="H62" i="92"/>
  <c r="E62" i="92"/>
  <c r="H61" i="92"/>
  <c r="E61" i="92"/>
  <c r="H60" i="92"/>
  <c r="E60" i="92"/>
  <c r="H59" i="92"/>
  <c r="E59" i="92"/>
  <c r="H58" i="92"/>
  <c r="E58" i="92"/>
  <c r="H57" i="92"/>
  <c r="E57" i="92"/>
  <c r="H56" i="92"/>
  <c r="E56" i="92"/>
  <c r="H55" i="92"/>
  <c r="E55" i="92"/>
  <c r="H53" i="92"/>
  <c r="E53" i="92"/>
  <c r="H52" i="92"/>
  <c r="E52" i="92"/>
  <c r="H51" i="92"/>
  <c r="E51" i="92"/>
  <c r="H50" i="92"/>
  <c r="E50" i="92"/>
  <c r="H49" i="92"/>
  <c r="E49" i="92"/>
  <c r="H48" i="92"/>
  <c r="E48" i="92"/>
  <c r="H47" i="92"/>
  <c r="E47" i="92"/>
  <c r="H46" i="92"/>
  <c r="E46" i="92"/>
  <c r="H45" i="92"/>
  <c r="E45" i="92"/>
  <c r="H44" i="92"/>
  <c r="E44" i="92"/>
  <c r="H43" i="92"/>
  <c r="E43" i="92"/>
  <c r="H42" i="92"/>
  <c r="E42" i="92"/>
  <c r="H41" i="92"/>
  <c r="E41" i="92"/>
  <c r="H40" i="92"/>
  <c r="E40" i="92"/>
  <c r="H39" i="92"/>
  <c r="E39" i="92"/>
  <c r="H38" i="92"/>
  <c r="E38" i="92"/>
  <c r="H36" i="92"/>
  <c r="E36" i="92"/>
  <c r="H35" i="92"/>
  <c r="E35" i="92"/>
  <c r="H34" i="92"/>
  <c r="E34" i="92"/>
  <c r="H33" i="92"/>
  <c r="E33" i="92"/>
  <c r="H32" i="92"/>
  <c r="E32" i="92"/>
  <c r="H31" i="92"/>
  <c r="E31" i="92"/>
  <c r="H30" i="92"/>
  <c r="E30" i="92"/>
  <c r="H29" i="92"/>
  <c r="E29" i="92"/>
  <c r="H28" i="92"/>
  <c r="E28" i="92"/>
  <c r="H27" i="92"/>
  <c r="E27" i="92"/>
  <c r="H26" i="92"/>
  <c r="E26" i="92"/>
  <c r="H25" i="92"/>
  <c r="E25" i="92"/>
  <c r="H24" i="92"/>
  <c r="E24" i="92"/>
  <c r="H23" i="92"/>
  <c r="E23" i="92"/>
  <c r="H22" i="92"/>
  <c r="E22" i="92"/>
  <c r="H21" i="92"/>
  <c r="E21" i="92"/>
  <c r="H20" i="92"/>
  <c r="E20" i="92"/>
  <c r="H19" i="92"/>
  <c r="E19" i="92"/>
  <c r="H18" i="92"/>
  <c r="E18" i="92"/>
  <c r="H17" i="92"/>
  <c r="E17" i="92"/>
  <c r="H16" i="92"/>
  <c r="E16" i="92"/>
  <c r="H15" i="92"/>
  <c r="E15" i="92"/>
  <c r="H14" i="92"/>
  <c r="E14" i="92"/>
  <c r="H13" i="92"/>
  <c r="E13" i="92"/>
  <c r="H12" i="92"/>
  <c r="E12" i="92"/>
  <c r="H11" i="92"/>
  <c r="E11" i="92"/>
  <c r="H10" i="92"/>
  <c r="E10" i="92"/>
  <c r="H9" i="92"/>
  <c r="E9" i="92"/>
  <c r="H8" i="92"/>
  <c r="E8" i="92"/>
  <c r="H7" i="92"/>
  <c r="E7" i="92"/>
  <c r="H13" i="95" l="1"/>
  <c r="L14" i="100"/>
  <c r="C14" i="100" s="1"/>
  <c r="L13" i="100"/>
  <c r="L12" i="100"/>
  <c r="C12" i="100" s="1"/>
  <c r="L11" i="100"/>
  <c r="L10" i="100"/>
  <c r="L9" i="100"/>
  <c r="C13" i="100"/>
  <c r="H14" i="100"/>
  <c r="H13" i="100"/>
  <c r="H12" i="100"/>
  <c r="H11" i="100"/>
  <c r="H10" i="100"/>
  <c r="H9" i="100"/>
  <c r="D14" i="100"/>
  <c r="D13" i="100"/>
  <c r="D12" i="100"/>
  <c r="D11" i="100"/>
  <c r="D10" i="100"/>
  <c r="D9" i="100"/>
  <c r="C27" i="100"/>
  <c r="C26" i="100"/>
  <c r="D37" i="101"/>
  <c r="D36" i="101"/>
  <c r="D35" i="101"/>
  <c r="D34" i="101"/>
  <c r="D33" i="101"/>
  <c r="D32" i="101"/>
  <c r="D31" i="101"/>
  <c r="D30" i="101"/>
  <c r="D29" i="101"/>
  <c r="D28" i="101"/>
  <c r="D27" i="101"/>
  <c r="D26" i="101"/>
  <c r="D25" i="101"/>
  <c r="D24" i="101"/>
  <c r="D23" i="101"/>
  <c r="L38" i="101"/>
  <c r="L37" i="101"/>
  <c r="L36" i="101"/>
  <c r="L35" i="101"/>
  <c r="L34" i="101"/>
  <c r="L33" i="101"/>
  <c r="C37" i="101"/>
  <c r="C36" i="101"/>
  <c r="C35" i="101"/>
  <c r="C34" i="101"/>
  <c r="C33" i="101"/>
  <c r="C32" i="101"/>
  <c r="C21" i="101"/>
  <c r="C20" i="101"/>
  <c r="C19" i="101"/>
  <c r="C18" i="101"/>
  <c r="C17" i="101"/>
  <c r="C15" i="101"/>
  <c r="C30" i="101" s="1"/>
  <c r="C14" i="101"/>
  <c r="C29" i="101" s="1"/>
  <c r="C13" i="101"/>
  <c r="C28" i="101" s="1"/>
  <c r="C12" i="101"/>
  <c r="C27" i="101" s="1"/>
  <c r="C11" i="101"/>
  <c r="C8" i="101"/>
  <c r="C4" i="101" s="1"/>
  <c r="C10" i="101"/>
  <c r="C25" i="101" s="1"/>
  <c r="C9" i="101"/>
  <c r="C24" i="101"/>
  <c r="C31" i="101"/>
  <c r="C26" i="101"/>
  <c r="L20" i="101"/>
  <c r="L19" i="101"/>
  <c r="L18" i="101"/>
  <c r="L17" i="101"/>
  <c r="L15" i="101"/>
  <c r="L31" i="101" s="1"/>
  <c r="L14" i="101"/>
  <c r="L30" i="101" s="1"/>
  <c r="L13" i="101"/>
  <c r="L29" i="101" s="1"/>
  <c r="L12" i="101"/>
  <c r="L28" i="101" s="1"/>
  <c r="L11" i="101"/>
  <c r="L27" i="101" s="1"/>
  <c r="L10" i="101"/>
  <c r="L9" i="101"/>
  <c r="L25" i="101" s="1"/>
  <c r="L8" i="101"/>
  <c r="L23" i="101" s="1"/>
  <c r="L32" i="101"/>
  <c r="L26" i="101"/>
  <c r="L9" i="103"/>
  <c r="E24" i="96"/>
  <c r="H35" i="102"/>
  <c r="C21" i="96"/>
  <c r="E22" i="95"/>
  <c r="C8" i="100" l="1"/>
  <c r="L24" i="101"/>
  <c r="C23" i="101"/>
  <c r="G37" i="80" l="1"/>
  <c r="V21" i="64" l="1"/>
  <c r="C22" i="35"/>
  <c r="D22" i="35"/>
  <c r="E22" i="35"/>
  <c r="F22" i="35"/>
  <c r="G22" i="35"/>
  <c r="H22" i="35"/>
  <c r="I22" i="35"/>
  <c r="J22" i="35"/>
  <c r="K22" i="35"/>
  <c r="L22" i="35"/>
  <c r="M22" i="35"/>
  <c r="N22" i="35"/>
  <c r="O22" i="35"/>
  <c r="P22" i="35"/>
  <c r="Q22" i="35"/>
  <c r="C47" i="69"/>
  <c r="C45" i="69"/>
  <c r="C20" i="69"/>
  <c r="C9" i="69"/>
  <c r="C8" i="69"/>
  <c r="C7" i="69"/>
  <c r="C66" i="69"/>
  <c r="C63" i="69"/>
  <c r="C60" i="69"/>
  <c r="C51" i="69"/>
  <c r="C50" i="69"/>
  <c r="C49" i="69"/>
  <c r="C41" i="69"/>
  <c r="C33" i="69"/>
  <c r="C31" i="69"/>
  <c r="C30" i="69"/>
  <c r="C28" i="69"/>
  <c r="C25" i="69"/>
  <c r="C24" i="69"/>
  <c r="C23" i="69" s="1"/>
  <c r="C15" i="69"/>
  <c r="F14" i="71"/>
  <c r="H45" i="93"/>
  <c r="E45" i="93"/>
  <c r="H44" i="93"/>
  <c r="E44" i="93"/>
  <c r="H43" i="93"/>
  <c r="E43"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H6" i="93"/>
  <c r="E6" i="93"/>
  <c r="D48" i="6"/>
  <c r="C48" i="6"/>
  <c r="D44" i="6"/>
  <c r="C44" i="6"/>
  <c r="E23" i="6"/>
  <c r="D23" i="6"/>
  <c r="C23" i="6"/>
  <c r="E22" i="6"/>
  <c r="D22" i="6"/>
  <c r="C22" i="6"/>
  <c r="E21" i="6"/>
  <c r="D21" i="6"/>
  <c r="C21" i="6"/>
  <c r="E20" i="6"/>
  <c r="D20" i="6"/>
  <c r="C20" i="6"/>
  <c r="E19" i="6"/>
  <c r="D19" i="6"/>
  <c r="C19" i="6"/>
  <c r="E18" i="6"/>
  <c r="D18" i="6"/>
  <c r="C18" i="6"/>
  <c r="C10" i="99" l="1"/>
  <c r="H8" i="97" l="1"/>
  <c r="F33" i="97"/>
  <c r="H33" i="97" s="1"/>
  <c r="H7" i="97"/>
  <c r="H9" i="97"/>
  <c r="H10" i="97"/>
  <c r="H11" i="97"/>
  <c r="H12" i="97"/>
  <c r="H13" i="97"/>
  <c r="H14" i="97"/>
  <c r="H15" i="97"/>
  <c r="H16" i="97"/>
  <c r="H17" i="97"/>
  <c r="H18" i="97"/>
  <c r="H19" i="97"/>
  <c r="H20" i="97"/>
  <c r="H21" i="97"/>
  <c r="H22" i="97"/>
  <c r="H23" i="97"/>
  <c r="H24" i="97"/>
  <c r="H25" i="97"/>
  <c r="H26" i="97"/>
  <c r="H27" i="97"/>
  <c r="H28" i="97"/>
  <c r="H29" i="97"/>
  <c r="H30" i="97"/>
  <c r="H31" i="97"/>
  <c r="H32" i="97"/>
  <c r="H7" i="96" l="1"/>
  <c r="H8" i="96"/>
  <c r="H9" i="96"/>
  <c r="H10" i="96"/>
  <c r="H11" i="96"/>
  <c r="H12" i="96"/>
  <c r="H13" i="96"/>
  <c r="H14" i="96"/>
  <c r="H15" i="96"/>
  <c r="H16" i="96"/>
  <c r="H17" i="96"/>
  <c r="H18" i="96"/>
  <c r="H19" i="96"/>
  <c r="H20" i="96"/>
  <c r="E8" i="94" l="1"/>
  <c r="H8" i="94"/>
  <c r="E9" i="94"/>
  <c r="H9" i="94"/>
  <c r="E10" i="94"/>
  <c r="H10" i="94"/>
  <c r="E6" i="94"/>
  <c r="H6" i="94"/>
  <c r="E7" i="94"/>
  <c r="H7" i="94"/>
  <c r="C11" i="94"/>
  <c r="E11" i="94" s="1"/>
  <c r="D11" i="94"/>
  <c r="H11" i="94"/>
  <c r="E12" i="94"/>
  <c r="H12" i="94"/>
  <c r="E13" i="94"/>
  <c r="H13" i="94"/>
  <c r="H14" i="94"/>
  <c r="E15" i="94"/>
  <c r="H15" i="94"/>
  <c r="E16" i="94"/>
  <c r="H16" i="94"/>
  <c r="E17" i="94"/>
  <c r="H17" i="94"/>
  <c r="E18" i="94"/>
  <c r="H18" i="94"/>
  <c r="E19" i="94"/>
  <c r="H19" i="94"/>
  <c r="E20" i="94"/>
  <c r="H20" i="94"/>
  <c r="E21" i="94"/>
  <c r="H21" i="94"/>
  <c r="E22" i="94"/>
  <c r="H22" i="94"/>
  <c r="E23" i="94"/>
  <c r="H23" i="94"/>
  <c r="E24" i="94"/>
  <c r="H24" i="94"/>
  <c r="E25" i="94"/>
  <c r="H25" i="94"/>
  <c r="E26" i="94"/>
  <c r="H26" i="94"/>
  <c r="E27" i="94"/>
  <c r="H27" i="94"/>
  <c r="E28" i="94"/>
  <c r="H28" i="94"/>
  <c r="E29" i="94"/>
  <c r="H29" i="94"/>
  <c r="C30" i="94"/>
  <c r="E30" i="94" s="1"/>
  <c r="D30" i="94"/>
  <c r="E31" i="94"/>
  <c r="H31" i="94"/>
  <c r="E32" i="94"/>
  <c r="H32" i="94"/>
  <c r="E33" i="94"/>
  <c r="H33" i="94"/>
  <c r="E34" i="94"/>
  <c r="H34" i="94"/>
  <c r="E35" i="94"/>
  <c r="H35" i="94"/>
  <c r="E36" i="94"/>
  <c r="H36" i="94"/>
  <c r="E37" i="94"/>
  <c r="H37" i="94"/>
  <c r="E38" i="94"/>
  <c r="H38" i="94"/>
  <c r="E39" i="94"/>
  <c r="H39" i="94"/>
  <c r="E40" i="94"/>
  <c r="H40" i="94"/>
  <c r="E41" i="94"/>
  <c r="H41" i="94"/>
  <c r="E42" i="94"/>
  <c r="H42" i="94"/>
  <c r="E43" i="94"/>
  <c r="H43" i="94"/>
  <c r="H30" i="94" l="1"/>
  <c r="E14" i="94"/>
  <c r="E21" i="96" l="1"/>
  <c r="C27" i="69" l="1"/>
  <c r="C15" i="100" l="1"/>
  <c r="D15" i="100"/>
  <c r="E15" i="100"/>
  <c r="F15" i="100"/>
  <c r="G15" i="100"/>
  <c r="H15" i="100"/>
  <c r="I15" i="100"/>
  <c r="J15" i="100"/>
  <c r="K15" i="100"/>
  <c r="L15" i="100"/>
  <c r="M15" i="100"/>
  <c r="N15" i="100"/>
  <c r="O15" i="100"/>
  <c r="P15" i="100"/>
  <c r="Q15" i="100"/>
  <c r="R15" i="100"/>
  <c r="S15" i="100"/>
  <c r="C12" i="28" l="1"/>
  <c r="C32" i="28"/>
  <c r="C31" i="28" s="1"/>
  <c r="C42" i="28" s="1"/>
  <c r="C36" i="28"/>
  <c r="C44" i="28"/>
  <c r="H70" i="92" l="1"/>
  <c r="E70" i="92"/>
  <c r="L33" i="102" l="1"/>
  <c r="K33" i="102"/>
  <c r="J33" i="102"/>
  <c r="I33" i="102"/>
  <c r="H33" i="102"/>
  <c r="G33" i="102"/>
  <c r="F33" i="102"/>
  <c r="F34" i="102" s="1"/>
  <c r="E33" i="102"/>
  <c r="D33" i="102"/>
  <c r="C35" i="102" s="1"/>
  <c r="C33" i="102"/>
  <c r="S22" i="100"/>
  <c r="R22" i="100"/>
  <c r="Q22" i="100"/>
  <c r="P22" i="100"/>
  <c r="O22" i="100"/>
  <c r="N22" i="100"/>
  <c r="M22" i="100"/>
  <c r="L22" i="100"/>
  <c r="K22" i="100"/>
  <c r="J22" i="100"/>
  <c r="I22" i="100"/>
  <c r="H22" i="100"/>
  <c r="G22" i="100"/>
  <c r="F22" i="100"/>
  <c r="E22" i="100"/>
  <c r="D22" i="100"/>
  <c r="C22" i="100"/>
  <c r="S8" i="100"/>
  <c r="R8" i="100"/>
  <c r="Q8" i="100"/>
  <c r="P8" i="100"/>
  <c r="O8" i="100"/>
  <c r="N8" i="100"/>
  <c r="M8" i="100"/>
  <c r="L8" i="100"/>
  <c r="K8" i="100"/>
  <c r="J8" i="100"/>
  <c r="I8" i="100"/>
  <c r="H8" i="100"/>
  <c r="G8" i="100"/>
  <c r="F8" i="100"/>
  <c r="E8" i="100"/>
  <c r="D8" i="100"/>
  <c r="C4" i="100"/>
  <c r="C18" i="99"/>
  <c r="C48" i="28"/>
  <c r="L4" i="100" l="1"/>
  <c r="L3" i="100"/>
  <c r="H3" i="100"/>
  <c r="H4" i="100"/>
  <c r="D3" i="100"/>
  <c r="D4" i="100"/>
  <c r="C24" i="96"/>
  <c r="E35" i="97"/>
  <c r="D10" i="98" l="1"/>
  <c r="D7" i="98"/>
  <c r="D15" i="98" l="1"/>
  <c r="G21" i="96"/>
  <c r="F21" i="96"/>
  <c r="C35" i="79" l="1"/>
  <c r="C34" i="102" l="1"/>
  <c r="F35" i="97" l="1"/>
  <c r="C22" i="74" l="1"/>
  <c r="H21" i="74" l="1"/>
  <c r="H20" i="74"/>
  <c r="H19" i="74"/>
  <c r="H18" i="74"/>
  <c r="H17" i="74"/>
  <c r="H16" i="74"/>
  <c r="H15" i="74"/>
  <c r="H14" i="74"/>
  <c r="H13" i="74"/>
  <c r="H12" i="74"/>
  <c r="H11" i="74"/>
  <c r="H10" i="74"/>
  <c r="H9" i="74"/>
  <c r="H8" i="74"/>
  <c r="U15" i="100"/>
  <c r="T15" i="100"/>
  <c r="U22" i="100"/>
  <c r="T22" i="100"/>
  <c r="U8" i="100"/>
  <c r="T8" i="100"/>
  <c r="E13" i="99"/>
  <c r="C19" i="99" l="1"/>
  <c r="C32" i="69" l="1"/>
  <c r="C21" i="69"/>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C7" i="98" l="1"/>
  <c r="C10" i="98"/>
  <c r="I33" i="97"/>
  <c r="C34" i="97"/>
  <c r="C35" i="97" s="1"/>
  <c r="D34" i="97"/>
  <c r="D35" i="97" s="1"/>
  <c r="E34" i="97"/>
  <c r="F34" i="97"/>
  <c r="G34" i="97"/>
  <c r="H22" i="96"/>
  <c r="H23" i="96"/>
  <c r="H8" i="95"/>
  <c r="H9" i="95"/>
  <c r="H10" i="95"/>
  <c r="H11" i="95"/>
  <c r="H12" i="95"/>
  <c r="H14" i="95"/>
  <c r="H15" i="95"/>
  <c r="I14" i="96" s="1"/>
  <c r="H16" i="95"/>
  <c r="I15" i="96" s="1"/>
  <c r="H17" i="95"/>
  <c r="I16" i="96" s="1"/>
  <c r="H18" i="95"/>
  <c r="H19" i="95"/>
  <c r="H20" i="95"/>
  <c r="D22" i="95"/>
  <c r="F22" i="95"/>
  <c r="G22" i="95"/>
  <c r="I13" i="96" l="1"/>
  <c r="H22" i="95"/>
  <c r="H23" i="95" s="1"/>
  <c r="I12" i="96"/>
  <c r="C15" i="98"/>
  <c r="C16" i="98" s="1"/>
  <c r="H34" i="97"/>
  <c r="C62" i="69"/>
  <c r="C58" i="69"/>
  <c r="C67" i="69" s="1"/>
  <c r="C46" i="69"/>
  <c r="C40" i="69"/>
  <c r="C29" i="69"/>
  <c r="C26" i="69"/>
  <c r="C18" i="69"/>
  <c r="C14" i="69"/>
  <c r="C6" i="69"/>
  <c r="C35" i="69" l="1"/>
  <c r="D21" i="96"/>
  <c r="D37" i="72"/>
  <c r="C52" i="69"/>
  <c r="H21" i="96" l="1"/>
  <c r="C68" i="69"/>
  <c r="C69" i="69" s="1"/>
  <c r="G21" i="80"/>
  <c r="H25" i="96" l="1"/>
  <c r="H35" i="97"/>
  <c r="G39" i="80"/>
  <c r="G6" i="71"/>
  <c r="G13" i="71" s="1"/>
  <c r="F6" i="71"/>
  <c r="F13" i="71" s="1"/>
  <c r="E6" i="71"/>
  <c r="E13" i="71" s="1"/>
  <c r="E14" i="71" s="1"/>
  <c r="D6" i="71"/>
  <c r="D13" i="71" s="1"/>
  <c r="D14"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L7" i="37"/>
  <c r="L21" i="37" s="1"/>
  <c r="J7" i="37"/>
  <c r="I7" i="37"/>
  <c r="I21" i="37" s="1"/>
  <c r="H7" i="37"/>
  <c r="H21" i="37" s="1"/>
  <c r="G7" i="37"/>
  <c r="F7" i="37"/>
  <c r="C7" i="37"/>
  <c r="G21" i="37" l="1"/>
  <c r="M21" i="37"/>
  <c r="J21" i="37"/>
  <c r="F21" i="37"/>
  <c r="N14" i="37"/>
  <c r="E14" i="37"/>
  <c r="E7" i="37"/>
  <c r="C21" i="37"/>
  <c r="N8" i="37"/>
  <c r="E21" i="37" l="1"/>
  <c r="C12" i="79" s="1"/>
  <c r="C18" i="79" s="1"/>
  <c r="C36" i="79" s="1"/>
  <c r="C38" i="79" s="1"/>
  <c r="N7" i="37"/>
  <c r="N21" i="37" s="1"/>
  <c r="K7" i="37"/>
  <c r="K21" i="37" s="1"/>
  <c r="S21" i="35" l="1"/>
  <c r="S20" i="35"/>
  <c r="S19" i="35"/>
  <c r="S18" i="35"/>
  <c r="S17" i="35"/>
  <c r="S16" i="35"/>
  <c r="S15" i="35"/>
  <c r="S14" i="35"/>
  <c r="S13" i="35"/>
  <c r="S12" i="35"/>
  <c r="S11" i="35"/>
  <c r="S10" i="35"/>
  <c r="S9" i="35"/>
  <c r="S8" i="35"/>
  <c r="S22" i="35" l="1"/>
  <c r="R22" i="35" l="1"/>
  <c r="G22" i="74" l="1"/>
  <c r="F22" i="74"/>
  <c r="G23" i="74" l="1"/>
  <c r="V7" i="64"/>
  <c r="T21" i="64" l="1"/>
  <c r="U21" i="64"/>
  <c r="V9" i="64"/>
  <c r="D22" i="74" l="1"/>
  <c r="E22" i="74"/>
  <c r="H22" i="74"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C53" i="28" l="1"/>
  <c r="C6" i="28" l="1"/>
  <c r="C29" i="28" s="1"/>
  <c r="C55" i="28" l="1"/>
  <c r="E29" i="28"/>
  <c r="C5" i="6"/>
  <c r="F5" i="6"/>
  <c r="G5" i="71"/>
  <c r="E5" i="6"/>
  <c r="J5" i="6" s="1"/>
  <c r="D5" i="6"/>
  <c r="I5" i="6" s="1"/>
  <c r="G5" i="6"/>
  <c r="C5" i="71" l="1"/>
  <c r="E5" i="71"/>
  <c r="F5" i="71"/>
  <c r="D5" i="71"/>
  <c r="E37" i="72" l="1"/>
  <c r="C5" i="73" s="1"/>
  <c r="C8" i="73" s="1"/>
  <c r="C13" i="73" s="1"/>
  <c r="C37" i="72"/>
  <c r="H24" i="96" s="1"/>
  <c r="C38" i="72" l="1"/>
</calcChain>
</file>

<file path=xl/sharedStrings.xml><?xml version="1.0" encoding="utf-8"?>
<sst xmlns="http://schemas.openxmlformats.org/spreadsheetml/2006/main" count="1590" uniqueCount="987">
  <si>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</si>
  <si>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</si>
  <si>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</si>
  <si>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</si>
  <si>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</si>
  <si>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</si>
  <si>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</si>
  <si>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</si>
  <si>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</si>
  <si>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</si>
  <si>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</si>
  <si>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</si>
  <si>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</si>
  <si>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</si>
  <si>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</si>
  <si>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</si>
  <si>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</si>
  <si>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</si>
  <si>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</si>
  <si>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</si>
  <si>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</si>
  <si>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</si>
  <si>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</si>
  <si>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</si>
  <si>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</si>
  <si>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</si>
  <si>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</si>
  <si>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</si>
  <si>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</si>
  <si>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</si>
  <si>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</si>
  <si>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</si>
  <si>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</si>
  <si>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</si>
  <si>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</si>
  <si>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</si>
  <si>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</si>
  <si>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</si>
  <si>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</si>
  <si>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</si>
  <si>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</si>
  <si>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</si>
  <si>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</si>
  <si>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</si>
  <si>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</si>
  <si>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</si>
  <si>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</si>
  <si>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</si>
  <si>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</si>
  <si>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</si>
  <si>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</si>
  <si>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</si>
  <si>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</si>
  <si>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</si>
  <si>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</si>
  <si>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</si>
  <si>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</si>
  <si>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</si>
  <si>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</si>
  <si>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</si>
  <si>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</si>
  <si>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</si>
  <si>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</si>
  <si>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</si>
  <si>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</si>
  <si>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</si>
  <si>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</si>
  <si>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</si>
  <si>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</si>
  <si>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</si>
  <si>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</si>
  <si>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</si>
  <si>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</si>
  <si>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</si>
  <si>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</si>
  <si>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</si>
  <si>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</si>
  <si>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</si>
  <si>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</si>
  <si>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</si>
  <si>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</si>
  <si>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</si>
  <si>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</si>
  <si>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</si>
  <si>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</si>
  <si>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</si>
  <si>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</si>
  <si>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</si>
  <si>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</si>
  <si>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</si>
  <si>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</si>
  <si>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</si>
  <si>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</si>
  <si>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</si>
  <si>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</si>
  <si>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</si>
  <si>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</si>
  <si>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</si>
  <si>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</si>
  <si>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</si>
  <si>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</si>
  <si>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</si>
  <si>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</si>
  <si>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</si>
  <si>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</si>
  <si>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</si>
  <si>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</si>
  <si>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</si>
  <si>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</si>
  <si>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</si>
  <si>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</si>
  <si>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</si>
  <si>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</si>
  <si>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</si>
  <si>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</si>
  <si>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</si>
  <si>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</si>
  <si>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</si>
  <si>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</si>
  <si>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</si>
  <si>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</si>
  <si>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</si>
  <si>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</si>
  <si>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</si>
  <si>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</si>
  <si>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</si>
  <si>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</si>
  <si>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</si>
  <si>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</si>
  <si>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</si>
  <si>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</si>
  <si>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</si>
  <si>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</si>
  <si>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</si>
  <si>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</si>
  <si>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</si>
  <si>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</si>
  <si>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</si>
  <si>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</si>
  <si>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</si>
  <si>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</si>
  <si>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</si>
  <si>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</si>
  <si>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</si>
  <si>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</si>
  <si>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</si>
  <si>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</si>
  <si>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</si>
  <si>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</si>
  <si>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</si>
  <si>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</si>
  <si>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</si>
  <si>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</si>
  <si>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</si>
  <si>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</si>
  <si>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</si>
  <si>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</si>
  <si>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</si>
  <si>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</si>
  <si>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</si>
  <si>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</si>
  <si>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</si>
  <si>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</si>
  <si>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</si>
  <si>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</si>
  <si>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</si>
  <si>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</si>
  <si>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</si>
  <si>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</si>
  <si>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</si>
  <si>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</si>
  <si>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</si>
  <si>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</si>
  <si>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</si>
  <si>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</si>
  <si>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</si>
  <si>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</si>
  <si>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</si>
  <si>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</si>
  <si>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</si>
  <si>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</si>
  <si>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</si>
  <si>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</si>
  <si>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</si>
  <si>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</si>
  <si>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</si>
  <si>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</si>
  <si>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</si>
  <si>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</si>
  <si>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</si>
  <si>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</si>
  <si>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</si>
  <si>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</si>
  <si>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</si>
  <si>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</si>
  <si>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</si>
  <si>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</si>
  <si>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</si>
  <si>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</si>
  <si>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</si>
  <si>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</si>
  <si>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</si>
  <si>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</si>
  <si>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</si>
  <si>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</si>
  <si>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</si>
  <si>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</si>
  <si>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</si>
  <si>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</si>
  <si>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</si>
  <si>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</si>
  <si>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</si>
  <si>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</si>
  <si>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</si>
  <si>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</si>
  <si>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</si>
  <si>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</si>
  <si>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</si>
  <si>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</si>
  <si>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</si>
  <si>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</si>
  <si>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</si>
  <si>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</si>
  <si>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</si>
  <si>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</si>
  <si>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</si>
  <si>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</si>
  <si>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</si>
  <si>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</si>
  <si>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</si>
  <si>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</si>
  <si>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</si>
  <si>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</si>
  <si>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</si>
  <si>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</si>
  <si>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</si>
  <si>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</si>
  <si>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</si>
  <si>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</si>
  <si>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</si>
  <si>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</si>
  <si>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</si>
  <si>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</si>
  <si>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</si>
  <si>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</si>
  <si>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</si>
  <si>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</si>
  <si>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</si>
  <si>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</si>
  <si>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</si>
  <si>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</si>
  <si>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</si>
  <si>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</si>
  <si>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</si>
  <si>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</si>
  <si>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</si>
  <si>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</si>
  <si>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</si>
  <si>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</si>
  <si>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</si>
  <si>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</si>
  <si>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</si>
  <si>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</si>
  <si>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</si>
  <si>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</si>
  <si>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</si>
  <si>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</si>
  <si>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</si>
  <si>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</si>
  <si>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</si>
  <si>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</si>
  <si>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</si>
  <si>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</si>
  <si>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</si>
  <si>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</si>
  <si>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</si>
  <si>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</si>
  <si>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</si>
  <si>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</si>
  <si>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</si>
  <si>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</si>
  <si>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</si>
  <si>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</si>
  <si>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</si>
  <si>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</si>
  <si>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</si>
  <si>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</si>
  <si>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</si>
  <si>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</si>
  <si>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</si>
  <si>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</si>
  <si>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</si>
  <si>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</si>
  <si>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</si>
  <si>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</si>
  <si>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</si>
  <si>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</si>
  <si>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</si>
  <si>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</si>
  <si>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</si>
  <si>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</si>
  <si>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</si>
  <si>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</si>
  <si>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</si>
  <si>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</si>
  <si>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</si>
  <si>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</si>
  <si>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</si>
  <si>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</si>
  <si>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</si>
  <si>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</si>
  <si>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</si>
  <si>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</si>
  <si>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</si>
  <si>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</si>
  <si>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</si>
  <si>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</si>
  <si>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</si>
  <si>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</si>
  <si>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</si>
  <si>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</si>
  <si>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</si>
  <si>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</si>
  <si>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</si>
  <si>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</si>
  <si>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</si>
  <si>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</si>
  <si>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</si>
  <si>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</si>
  <si>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</si>
  <si>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</si>
  <si>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</si>
  <si>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</si>
  <si>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</si>
  <si>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</si>
  <si>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</si>
  <si>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</si>
  <si>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</si>
  <si>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</si>
  <si>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</si>
  <si>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</si>
  <si>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</si>
  <si>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</si>
  <si>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</si>
  <si>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</si>
  <si>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</si>
  <si>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</si>
  <si>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</si>
  <si>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</si>
  <si>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</si>
  <si>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</si>
  <si>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</si>
  <si>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</si>
  <si>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</si>
  <si>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</si>
  <si>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</si>
  <si>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</si>
  <si>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</si>
  <si>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</si>
  <si>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</si>
  <si>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</si>
  <si>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</si>
  <si>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</si>
  <si>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</si>
  <si>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</si>
  <si>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</si>
  <si>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</si>
  <si>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</si>
  <si>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</si>
  <si>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</si>
  <si>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</si>
  <si>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</si>
  <si>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</si>
  <si>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</si>
  <si>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</si>
  <si>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</si>
  <si>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</si>
  <si>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</si>
  <si>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</si>
  <si>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</si>
  <si>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</si>
  <si>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</si>
  <si>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</si>
  <si>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</si>
  <si>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</si>
  <si>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</si>
  <si>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</si>
  <si>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</si>
  <si>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</si>
  <si>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</si>
  <si>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</si>
  <si>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</si>
  <si>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</si>
  <si>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</si>
  <si>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</si>
  <si>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</si>
  <si>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</si>
  <si>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</si>
  <si>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</si>
  <si>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</si>
  <si>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</si>
  <si>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</si>
  <si>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</si>
  <si>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</si>
  <si>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</si>
  <si>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</si>
  <si>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</si>
  <si>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</si>
  <si>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</si>
  <si>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</si>
  <si>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</si>
  <si>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</si>
  <si>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</si>
  <si>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</si>
  <si>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</si>
  <si>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</si>
  <si>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</si>
  <si>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</si>
  <si>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</si>
  <si>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</si>
  <si>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</si>
  <si>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</si>
  <si>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</si>
  <si>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</si>
  <si>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</si>
  <si>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</si>
  <si>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</si>
  <si>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</si>
  <si>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</si>
  <si>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</si>
  <si>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</si>
  <si>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</si>
  <si>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</si>
  <si>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</si>
  <si>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</si>
  <si>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</si>
  <si>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</si>
  <si>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</si>
  <si>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</si>
  <si>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</si>
  <si>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</si>
  <si>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</si>
  <si>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</si>
  <si>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</si>
  <si>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</si>
  <si>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</si>
  <si>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</si>
  <si>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</si>
  <si>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</si>
  <si>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</si>
  <si>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</si>
  <si>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</si>
  <si>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</si>
  <si>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</si>
  <si>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</si>
  <si>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</si>
  <si>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</si>
  <si>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</si>
  <si>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</si>
  <si>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</si>
  <si>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</si>
  <si>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</si>
  <si>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</si>
  <si>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</si>
  <si>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</si>
  <si>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</si>
  <si>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</si>
  <si>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</si>
  <si>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</si>
  <si>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</si>
  <si>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</si>
  <si>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</si>
  <si>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</si>
  <si>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</si>
  <si>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</si>
  <si>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</si>
  <si>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</si>
  <si>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</si>
  <si>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</si>
  <si>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</si>
  <si>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</si>
  <si>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</si>
  <si>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</si>
  <si>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</si>
  <si>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</si>
  <si>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</si>
  <si>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</si>
  <si>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</si>
  <si>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</si>
  <si>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</si>
  <si>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</si>
  <si>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</si>
  <si>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</si>
  <si>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</si>
  <si>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</si>
  <si>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</si>
  <si>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</si>
  <si>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</si>
  <si>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</si>
  <si>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</si>
  <si>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</si>
  <si>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</si>
  <si>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</si>
  <si>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</si>
  <si>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</si>
  <si>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</si>
  <si>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</si>
  <si>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</si>
  <si>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</si>
  <si>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</si>
  <si>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</si>
  <si>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</si>
  <si>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</si>
  <si>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</si>
  <si>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</si>
  <si>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</si>
  <si>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</si>
  <si>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</si>
  <si>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</si>
  <si>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</si>
  <si>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</si>
  <si>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</si>
  <si>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</si>
  <si>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</si>
  <si>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</si>
  <si>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</si>
  <si>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</si>
  <si>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</si>
  <si>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</si>
  <si>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</si>
  <si>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</si>
  <si>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</si>
  <si>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</si>
  <si>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</si>
  <si>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</si>
  <si>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</si>
  <si>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</si>
  <si>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</si>
  <si>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</si>
  <si>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</si>
  <si>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</si>
  <si>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</si>
  <si>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</si>
  <si>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</si>
  <si>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</si>
  <si>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</si>
  <si>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</si>
  <si>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</si>
  <si>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</si>
  <si>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</si>
  <si>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</si>
  <si>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</si>
  <si>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</si>
  <si>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</si>
  <si>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</si>
  <si>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</si>
  <si>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</si>
  <si>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</si>
  <si>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</si>
  <si>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</si>
  <si>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</si>
  <si>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</si>
  <si>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</si>
  <si>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</si>
  <si>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</si>
  <si>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</si>
  <si>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</si>
  <si>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</si>
  <si>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</si>
  <si>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</si>
  <si>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</si>
  <si>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</si>
  <si>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</si>
  <si>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</si>
  <si>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</si>
  <si>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</si>
  <si>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</si>
  <si>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</si>
  <si>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</si>
  <si>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</si>
  <si>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</si>
  <si>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</si>
  <si>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</si>
  <si>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</si>
  <si>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</si>
  <si>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</si>
  <si>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</si>
  <si>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</si>
  <si>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</si>
  <si>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</si>
  <si>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</si>
  <si>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</si>
  <si>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</si>
  <si>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</si>
  <si>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</si>
  <si>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</si>
  <si>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</si>
  <si>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</si>
  <si>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</si>
  <si>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</si>
  <si>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</si>
  <si>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</si>
  <si>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</si>
  <si>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</si>
  <si>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</si>
  <si>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</si>
  <si>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</si>
  <si>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</si>
  <si>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</si>
  <si>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</si>
  <si>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</si>
  <si>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</si>
  <si>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</si>
  <si>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</si>
  <si>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</si>
  <si>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</si>
  <si>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</si>
  <si>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</si>
  <si>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</si>
  <si>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</si>
  <si>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</si>
  <si>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</si>
  <si>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</si>
  <si>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</si>
  <si>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</si>
  <si>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</si>
  <si>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</si>
  <si>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</si>
  <si>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</si>
  <si>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</si>
  <si>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</si>
  <si>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</si>
  <si>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</si>
  <si>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</si>
  <si>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</si>
  <si>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</si>
  <si>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</si>
  <si>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</si>
  <si>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</si>
  <si>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</si>
  <si>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</si>
  <si>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</si>
  <si>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</si>
  <si>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</si>
  <si>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</si>
  <si>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</si>
  <si>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</si>
  <si>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</si>
  <si>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</si>
  <si>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</si>
  <si>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</si>
  <si>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</si>
  <si>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</si>
  <si>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</si>
  <si>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</si>
  <si>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</si>
  <si>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</si>
  <si>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</si>
  <si>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</si>
  <si>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</si>
  <si>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</si>
  <si>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</si>
  <si>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</si>
  <si>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</si>
  <si>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</si>
  <si>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</si>
  <si>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</si>
  <si>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</si>
  <si>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</si>
  <si>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</si>
  <si>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</si>
  <si>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</si>
  <si>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</si>
  <si>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</si>
  <si>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</si>
  <si>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</si>
  <si>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</si>
  <si>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</si>
  <si>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</si>
  <si>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</si>
  <si>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</si>
  <si>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</si>
  <si>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</si>
  <si>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</si>
  <si>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</si>
  <si>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</si>
  <si>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</si>
  <si>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</si>
  <si>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</si>
  <si>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</si>
  <si>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</si>
  <si>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</si>
  <si>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</si>
  <si>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</si>
  <si>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</si>
  <si>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</si>
  <si>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</si>
  <si>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</si>
  <si>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</si>
  <si>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</si>
  <si>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</si>
  <si>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</si>
  <si>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</si>
  <si>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</si>
  <si>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</si>
  <si>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</si>
  <si>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</si>
  <si>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</si>
  <si>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</si>
  <si>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</si>
  <si>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</si>
  <si>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</si>
  <si>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</si>
  <si>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</si>
  <si>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</si>
  <si>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</si>
  <si>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</si>
  <si>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</si>
  <si>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</si>
  <si>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</si>
  <si>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</si>
  <si>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</si>
  <si>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</si>
  <si>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</si>
  <si>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</si>
  <si>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</si>
  <si>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</si>
  <si>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</si>
  <si>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</si>
  <si>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</si>
  <si>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</si>
  <si>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</si>
  <si>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</si>
  <si>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</si>
  <si>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</si>
  <si>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</si>
  <si>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</si>
  <si>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</si>
  <si>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</si>
  <si>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</si>
  <si>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</si>
  <si>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</si>
  <si>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</si>
  <si>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</si>
  <si>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</si>
  <si>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</si>
  <si>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</si>
  <si>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</si>
  <si>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</si>
  <si>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</si>
  <si>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</si>
  <si>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</si>
  <si>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</si>
  <si>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</si>
  <si>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</si>
  <si>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</si>
  <si>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</si>
  <si>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</si>
  <si>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</si>
  <si>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</si>
  <si>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</si>
  <si>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</si>
  <si>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</si>
  <si>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</si>
  <si>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</si>
  <si>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</si>
  <si>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</si>
  <si>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</si>
  <si>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</si>
  <si>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</si>
  <si>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</si>
  <si>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</si>
  <si>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</si>
  <si>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</si>
  <si>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</si>
  <si>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</si>
  <si>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</si>
  <si>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</si>
  <si>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</si>
  <si>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</si>
  <si>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</si>
  <si>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</si>
  <si>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</si>
  <si>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</si>
  <si>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</si>
  <si>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</si>
  <si>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</si>
  <si>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</si>
  <si>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</si>
  <si>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</si>
  <si>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</si>
  <si>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</si>
  <si>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</si>
  <si>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</si>
  <si>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</si>
  <si>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</si>
  <si>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</si>
  <si>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</si>
  <si>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</si>
  <si>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</si>
  <si>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</si>
  <si>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</si>
  <si>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</si>
  <si>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</si>
  <si>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</si>
  <si>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</si>
  <si>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</si>
  <si>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</si>
  <si>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</si>
  <si>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</si>
  <si>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</si>
  <si>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</si>
  <si>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</si>
  <si>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</si>
  <si>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</si>
  <si>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</si>
  <si>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</si>
  <si>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</si>
  <si>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</si>
  <si>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</si>
  <si>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</si>
  <si>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</si>
  <si>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</si>
  <si>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</si>
  <si>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</si>
  <si>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</si>
  <si>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</si>
  <si>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</si>
  <si>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</si>
  <si>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</si>
  <si>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</si>
  <si>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</si>
  <si>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</si>
  <si>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</si>
  <si>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</si>
  <si>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</si>
  <si>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</si>
  <si>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</si>
  <si>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</si>
  <si>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</si>
  <si>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</si>
  <si>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</si>
  <si>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</si>
  <si>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</si>
  <si>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</si>
  <si>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</si>
  <si>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</si>
  <si>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</si>
  <si>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</si>
  <si>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</si>
  <si>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</si>
  <si>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</si>
  <si>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</si>
  <si>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</si>
  <si>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</si>
  <si>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</si>
  <si>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</si>
  <si>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</si>
  <si>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</si>
  <si>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</si>
  <si>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</si>
  <si>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</si>
  <si>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</si>
  <si>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</si>
  <si>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</si>
  <si>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</si>
  <si>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</si>
  <si>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</si>
  <si>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</si>
  <si>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</si>
  <si>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</si>
  <si>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</si>
  <si>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</si>
  <si>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</si>
  <si>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</si>
  <si>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</si>
  <si>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</si>
  <si>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</si>
  <si>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</si>
  <si>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</si>
  <si>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</si>
  <si>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</si>
  <si>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</si>
  <si>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</si>
  <si>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</si>
  <si>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</si>
  <si>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</si>
  <si>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</si>
  <si>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</si>
  <si>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</si>
  <si>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</si>
  <si>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</si>
  <si>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</si>
  <si>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</si>
  <si>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</si>
  <si>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</si>
  <si>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</si>
  <si>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</si>
  <si>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</si>
  <si>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</si>
  <si>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</si>
  <si>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</si>
  <si>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</si>
  <si>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</si>
  <si>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</si>
  <si>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</si>
  <si>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</si>
  <si>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</si>
  <si>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</si>
  <si>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</si>
  <si>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</si>
  <si>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</si>
  <si>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</si>
  <si>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</si>
  <si>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</si>
  <si>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</si>
  <si>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</si>
  <si>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</si>
  <si>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</si>
  <si>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</si>
  <si>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</si>
  <si>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</si>
  <si>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</si>
  <si>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</si>
  <si>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</si>
  <si>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</si>
  <si>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</si>
  <si>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</si>
  <si>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</si>
  <si>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</si>
  <si>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</si>
  <si>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</si>
  <si>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</si>
  <si>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</si>
  <si>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</si>
  <si>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</si>
  <si>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</si>
  <si>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</si>
  <si>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</si>
  <si>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</si>
  <si>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</si>
  <si>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</si>
  <si>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</si>
  <si>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</si>
  <si>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</si>
  <si>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</si>
  <si>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</si>
  <si>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</si>
  <si>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</si>
  <si>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</si>
  <si>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</si>
  <si>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</si>
  <si>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</si>
  <si>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</si>
  <si>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</si>
  <si>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</si>
  <si>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</si>
  <si>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</si>
  <si>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</si>
  <si>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JSC "VTB Bank (Georgia)"</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</si>
  <si>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</si>
  <si>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</si>
  <si>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</si>
  <si>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</si>
  <si>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</si>
  <si>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</si>
  <si>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</si>
  <si>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</si>
  <si>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</si>
  <si>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</si>
  <si>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</si>
  <si>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</si>
  <si>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</si>
  <si>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</si>
  <si>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</si>
  <si>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</si>
  <si>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</si>
  <si>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</si>
  <si>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</si>
  <si>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</si>
  <si>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</si>
  <si>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</si>
  <si>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</si>
  <si>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</si>
  <si>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xml:space="preserve">"საქართველოს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 </t>
  </si>
  <si>
    <t/>
  </si>
  <si>
    <t>სვეტლანა კარალიოვა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</si>
</sst>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b/>
      <sz val="6"/>
      <color theme="1"/>
      <name val="Calibri"/>
      <family val="2"/>
      <scheme val="minor"/>
    </font>
    <font>
      <sz val="9"/>
      <color rgb="FFFF0000"/>
      <name val="Calibri"/>
      <family val="1"/>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7">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2"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2"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0" fontId="65" fillId="43" borderId="162" applyNumberFormat="0" applyAlignment="0" applyProtection="0"/>
    <xf numFmtId="3" fontId="2" fillId="72" borderId="148" applyFont="0">
      <alignment horizontal="right" vertical="center"/>
      <protection locked="0"/>
    </xf>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3" fontId="2" fillId="75" borderId="148" applyFont="0">
      <alignment horizontal="right" vertical="center"/>
      <protection locked="0"/>
    </xf>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2"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0" fontId="82" fillId="64" borderId="164"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2"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1" fillId="0" borderId="0"/>
    <xf numFmtId="43" fontId="1" fillId="0" borderId="0" applyFont="0" applyFill="0" applyBorder="0" applyAlignment="0" applyProtection="0"/>
  </cellStyleXfs>
  <cellXfs count="986">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172" fontId="25" fillId="37" borderId="92"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107"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1"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49" fontId="114" fillId="0" borderId="154" xfId="0" applyNumberFormat="1" applyFont="1" applyFill="1" applyBorder="1" applyAlignment="1">
      <alignment horizontal="left" wrapText="1" indent="1"/>
    </xf>
    <xf numFmtId="0" fontId="114" fillId="0" borderId="155" xfId="0" applyNumberFormat="1" applyFont="1" applyFill="1" applyBorder="1" applyAlignment="1">
      <alignment horizontal="left" wrapText="1" indent="1"/>
    </xf>
    <xf numFmtId="49" fontId="114" fillId="0" borderId="156" xfId="0" applyNumberFormat="1" applyFont="1" applyFill="1" applyBorder="1" applyAlignment="1">
      <alignment horizontal="left" wrapText="1" indent="1"/>
    </xf>
    <xf numFmtId="0" fontId="114" fillId="0" borderId="157" xfId="0" applyNumberFormat="1" applyFont="1" applyFill="1" applyBorder="1" applyAlignment="1">
      <alignment horizontal="left" wrapText="1" indent="1"/>
    </xf>
    <xf numFmtId="49" fontId="114" fillId="0" borderId="157"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2"/>
    </xf>
    <xf numFmtId="49" fontId="114" fillId="0" borderId="157" xfId="0" applyNumberFormat="1" applyFont="1" applyBorder="1" applyAlignment="1">
      <alignment horizontal="left" wrapText="1" indent="2"/>
    </xf>
    <xf numFmtId="49" fontId="114" fillId="0" borderId="156" xfId="0" applyNumberFormat="1" applyFont="1" applyFill="1" applyBorder="1" applyAlignment="1">
      <alignment horizontal="left" vertical="top" wrapText="1" indent="2"/>
    </xf>
    <xf numFmtId="49" fontId="114" fillId="0" borderId="156" xfId="0" applyNumberFormat="1" applyFont="1" applyFill="1" applyBorder="1" applyAlignment="1">
      <alignment horizontal="left" indent="1"/>
    </xf>
    <xf numFmtId="0" fontId="114" fillId="0" borderId="157" xfId="0" applyNumberFormat="1" applyFont="1" applyBorder="1" applyAlignment="1">
      <alignment horizontal="left" indent="1"/>
    </xf>
    <xf numFmtId="49" fontId="114" fillId="0" borderId="157" xfId="0" applyNumberFormat="1" applyFont="1" applyBorder="1" applyAlignment="1">
      <alignment horizontal="left" indent="1"/>
    </xf>
    <xf numFmtId="49" fontId="114" fillId="0" borderId="156" xfId="0" applyNumberFormat="1" applyFont="1" applyFill="1" applyBorder="1" applyAlignment="1">
      <alignment horizontal="left" indent="3"/>
    </xf>
    <xf numFmtId="49" fontId="114" fillId="0" borderId="157" xfId="0" applyNumberFormat="1" applyFont="1" applyBorder="1" applyAlignment="1">
      <alignment horizontal="left" indent="3"/>
    </xf>
    <xf numFmtId="0" fontId="114" fillId="0" borderId="157" xfId="0" applyFont="1" applyBorder="1" applyAlignment="1">
      <alignment horizontal="left" indent="2"/>
    </xf>
    <xf numFmtId="0" fontId="114" fillId="0" borderId="156" xfId="0" applyFont="1" applyBorder="1" applyAlignment="1">
      <alignment horizontal="left" indent="2"/>
    </xf>
    <xf numFmtId="0" fontId="114" fillId="0" borderId="157" xfId="0" applyFont="1" applyBorder="1" applyAlignment="1">
      <alignment horizontal="left" indent="1"/>
    </xf>
    <xf numFmtId="0" fontId="114" fillId="0" borderId="156"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43" fontId="115"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7" xfId="20961" applyNumberFormat="1" applyFont="1" applyBorder="1" applyAlignment="1"/>
    <xf numFmtId="10" fontId="4" fillId="0" borderId="169" xfId="20961" applyNumberFormat="1" applyFont="1" applyBorder="1" applyAlignment="1"/>
    <xf numFmtId="0" fontId="9" fillId="0" borderId="167" xfId="0" applyFont="1" applyBorder="1" applyAlignment="1"/>
    <xf numFmtId="0" fontId="9" fillId="0" borderId="172" xfId="0" applyFont="1" applyBorder="1" applyAlignment="1">
      <alignment wrapText="1"/>
    </xf>
    <xf numFmtId="0" fontId="4" fillId="0" borderId="167" xfId="0" applyFont="1" applyBorder="1" applyAlignment="1"/>
    <xf numFmtId="0" fontId="13" fillId="0" borderId="172" xfId="0" applyFont="1" applyBorder="1" applyAlignment="1">
      <alignment wrapText="1"/>
    </xf>
    <xf numFmtId="0" fontId="9" fillId="0" borderId="173" xfId="0" applyFont="1" applyBorder="1" applyAlignment="1">
      <alignment vertical="center"/>
    </xf>
    <xf numFmtId="167" fontId="0" fillId="36" borderId="166" xfId="7" applyNumberFormat="1" applyFont="1" applyFill="1" applyBorder="1" applyAlignment="1">
      <alignment vertical="center"/>
    </xf>
    <xf numFmtId="167" fontId="0" fillId="0" borderId="166" xfId="7" applyNumberFormat="1" applyFont="1" applyBorder="1" applyAlignment="1">
      <alignment vertical="center"/>
    </xf>
    <xf numFmtId="167" fontId="0" fillId="36" borderId="166"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0" xfId="0" applyNumberFormat="1" applyFont="1" applyFill="1" applyBorder="1" applyAlignment="1" applyProtection="1">
      <alignment vertical="center"/>
      <protection locked="0"/>
    </xf>
    <xf numFmtId="196" fontId="7" fillId="0" borderId="166" xfId="0" applyNumberFormat="1" applyFont="1" applyFill="1" applyBorder="1" applyAlignment="1" applyProtection="1">
      <alignment vertical="center" wrapText="1"/>
      <protection locked="0"/>
    </xf>
    <xf numFmtId="196" fontId="7" fillId="0" borderId="166" xfId="0" applyNumberFormat="1" applyFont="1" applyFill="1" applyBorder="1" applyAlignment="1" applyProtection="1">
      <alignment horizontal="right" vertical="center" wrapText="1"/>
      <protection locked="0"/>
    </xf>
    <xf numFmtId="10" fontId="7" fillId="0" borderId="166" xfId="20961" applyNumberFormat="1" applyFont="1" applyBorder="1" applyAlignment="1" applyProtection="1">
      <alignment vertical="center" wrapText="1"/>
      <protection locked="0"/>
    </xf>
    <xf numFmtId="10" fontId="9" fillId="2" borderId="166" xfId="20961" applyNumberFormat="1" applyFont="1" applyFill="1" applyBorder="1" applyAlignment="1" applyProtection="1">
      <alignment vertical="center"/>
      <protection locked="0"/>
    </xf>
    <xf numFmtId="196" fontId="9" fillId="2" borderId="166" xfId="0" applyNumberFormat="1" applyFont="1" applyFill="1" applyBorder="1" applyAlignment="1" applyProtection="1">
      <alignment vertical="center"/>
      <protection locked="0"/>
    </xf>
    <xf numFmtId="167" fontId="118" fillId="82" borderId="166" xfId="7" applyNumberFormat="1" applyFont="1" applyFill="1" applyBorder="1"/>
    <xf numFmtId="167" fontId="115" fillId="86" borderId="166" xfId="7" applyNumberFormat="1" applyFont="1" applyFill="1" applyBorder="1"/>
    <xf numFmtId="196" fontId="4" fillId="0" borderId="0" xfId="0" applyNumberFormat="1" applyFont="1"/>
    <xf numFmtId="167" fontId="0" fillId="0" borderId="166" xfId="7" applyNumberFormat="1" applyFont="1" applyBorder="1"/>
    <xf numFmtId="167" fontId="10" fillId="0" borderId="166" xfId="0" applyNumberFormat="1" applyFont="1" applyFill="1" applyBorder="1" applyAlignment="1">
      <alignment horizontal="left" vertical="center" wrapText="1"/>
    </xf>
    <xf numFmtId="43" fontId="145" fillId="0" borderId="0" xfId="0" applyNumberFormat="1" applyFont="1"/>
    <xf numFmtId="167" fontId="114" fillId="0" borderId="0" xfId="0" applyNumberFormat="1" applyFont="1" applyBorder="1"/>
    <xf numFmtId="10" fontId="9" fillId="0" borderId="174" xfId="20961" applyNumberFormat="1" applyFont="1" applyFill="1" applyBorder="1" applyAlignment="1" applyProtection="1">
      <alignment vertical="center"/>
      <protection locked="0"/>
    </xf>
    <xf numFmtId="3" fontId="20" fillId="0" borderId="166" xfId="0" applyNumberFormat="1" applyFont="1" applyBorder="1" applyAlignment="1">
      <alignment vertical="center" wrapText="1"/>
    </xf>
    <xf numFmtId="3" fontId="20" fillId="0" borderId="172" xfId="0" applyNumberFormat="1" applyFont="1" applyBorder="1" applyAlignment="1">
      <alignment vertical="center" wrapText="1"/>
    </xf>
    <xf numFmtId="3" fontId="20" fillId="0" borderId="166" xfId="0" applyNumberFormat="1" applyFont="1" applyFill="1" applyBorder="1" applyAlignment="1">
      <alignment vertical="center" wrapText="1"/>
    </xf>
    <xf numFmtId="10" fontId="107" fillId="0" borderId="166"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6" xfId="7" applyFont="1" applyBorder="1" applyAlignment="1"/>
    <xf numFmtId="43" fontId="4" fillId="0" borderId="172" xfId="7" applyFont="1" applyBorder="1" applyAlignment="1"/>
    <xf numFmtId="196" fontId="4" fillId="0" borderId="166" xfId="0" applyNumberFormat="1" applyFont="1" applyBorder="1" applyAlignment="1"/>
    <xf numFmtId="196" fontId="4" fillId="0" borderId="167" xfId="0" applyNumberFormat="1" applyFont="1" applyBorder="1" applyAlignment="1"/>
    <xf numFmtId="196" fontId="4" fillId="0" borderId="173" xfId="0" applyNumberFormat="1" applyFont="1" applyBorder="1" applyAlignment="1"/>
    <xf numFmtId="196" fontId="4" fillId="0" borderId="169" xfId="0" applyNumberFormat="1" applyFont="1" applyBorder="1" applyAlignment="1">
      <alignment wrapText="1"/>
    </xf>
    <xf numFmtId="196" fontId="4" fillId="0" borderId="169" xfId="0" applyNumberFormat="1" applyFont="1" applyBorder="1" applyAlignment="1"/>
    <xf numFmtId="196" fontId="4" fillId="0" borderId="166" xfId="0" applyNumberFormat="1" applyFont="1" applyBorder="1"/>
    <xf numFmtId="196" fontId="4" fillId="0" borderId="166" xfId="0" applyNumberFormat="1" applyFont="1" applyFill="1" applyBorder="1"/>
    <xf numFmtId="196" fontId="4" fillId="0" borderId="172" xfId="0" applyNumberFormat="1" applyFont="1" applyBorder="1"/>
    <xf numFmtId="196" fontId="4" fillId="0" borderId="172" xfId="0" applyNumberFormat="1" applyFont="1" applyFill="1" applyBorder="1"/>
    <xf numFmtId="167" fontId="111" fillId="0" borderId="166" xfId="948" applyNumberFormat="1" applyFont="1" applyFill="1" applyBorder="1" applyAlignment="1" applyProtection="1">
      <alignment horizontal="right" vertical="center"/>
      <protection locked="0"/>
    </xf>
    <xf numFmtId="167" fontId="118" fillId="0" borderId="166" xfId="7" applyNumberFormat="1" applyFont="1" applyBorder="1"/>
    <xf numFmtId="167" fontId="114" fillId="0" borderId="166" xfId="7" applyNumberFormat="1" applyFont="1" applyBorder="1"/>
    <xf numFmtId="167" fontId="114" fillId="0" borderId="166" xfId="7" applyNumberFormat="1" applyFont="1" applyFill="1" applyBorder="1"/>
    <xf numFmtId="167" fontId="117" fillId="0" borderId="166" xfId="7" applyNumberFormat="1" applyFont="1" applyBorder="1"/>
    <xf numFmtId="196" fontId="9" fillId="0" borderId="166" xfId="0" applyNumberFormat="1" applyFont="1" applyFill="1" applyBorder="1" applyAlignment="1" applyProtection="1">
      <alignment horizontal="right"/>
    </xf>
    <xf numFmtId="196" fontId="9" fillId="36" borderId="166"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43" fontId="118" fillId="0" borderId="166" xfId="7" applyFont="1" applyBorder="1"/>
    <xf numFmtId="43" fontId="115" fillId="0" borderId="166" xfId="7" applyFont="1" applyBorder="1"/>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xf numFmtId="43" fontId="4" fillId="0" borderId="166" xfId="7" applyFont="1" applyFill="1" applyBorder="1" applyAlignment="1">
      <alignment vertical="center" wrapText="1"/>
    </xf>
    <xf numFmtId="43" fontId="4" fillId="0" borderId="166" xfId="7" applyFont="1" applyBorder="1" applyAlignment="1">
      <alignment vertical="center"/>
    </xf>
    <xf numFmtId="196" fontId="7" fillId="3" borderId="167" xfId="2" applyNumberFormat="1" applyFont="1" applyFill="1" applyBorder="1" applyAlignment="1" applyProtection="1">
      <alignment vertical="top"/>
      <protection locked="0"/>
    </xf>
    <xf numFmtId="196" fontId="7" fillId="36" borderId="167" xfId="2" applyNumberFormat="1" applyFont="1" applyFill="1" applyBorder="1" applyAlignment="1" applyProtection="1">
      <alignment vertical="top" wrapText="1"/>
    </xf>
    <xf numFmtId="196" fontId="7" fillId="3" borderId="167" xfId="2" applyNumberFormat="1" applyFont="1" applyFill="1" applyBorder="1" applyAlignment="1" applyProtection="1">
      <alignment vertical="top" wrapText="1"/>
      <protection locked="0"/>
    </xf>
    <xf numFmtId="196" fontId="7" fillId="36" borderId="167" xfId="2" applyNumberFormat="1" applyFont="1" applyFill="1" applyBorder="1" applyAlignment="1" applyProtection="1">
      <alignment vertical="top" wrapText="1"/>
      <protection locked="0"/>
    </xf>
    <xf numFmtId="10" fontId="7" fillId="0" borderId="166" xfId="20961" applyNumberFormat="1" applyFont="1" applyFill="1" applyBorder="1" applyAlignment="1">
      <alignment horizontal="left" vertical="center" wrapText="1"/>
    </xf>
    <xf numFmtId="10" fontId="4" fillId="0" borderId="166" xfId="20961" applyNumberFormat="1" applyFont="1" applyFill="1" applyBorder="1" applyAlignment="1">
      <alignment horizontal="left" vertical="center" wrapText="1"/>
    </xf>
    <xf numFmtId="10" fontId="6" fillId="36" borderId="166" xfId="0" applyNumberFormat="1" applyFont="1" applyFill="1" applyBorder="1" applyAlignment="1">
      <alignment horizontal="left" vertical="center" wrapText="1"/>
    </xf>
    <xf numFmtId="10" fontId="6" fillId="36" borderId="166" xfId="20961" applyNumberFormat="1" applyFont="1" applyFill="1" applyBorder="1" applyAlignment="1">
      <alignment horizontal="left" vertical="center" wrapText="1"/>
    </xf>
    <xf numFmtId="167" fontId="114" fillId="0" borderId="166" xfId="7" applyNumberFormat="1" applyFont="1" applyBorder="1" applyAlignment="1">
      <alignment horizontal="left" indent="1"/>
    </xf>
    <xf numFmtId="0" fontId="114" fillId="0" borderId="166" xfId="0" applyFont="1" applyBorder="1"/>
    <xf numFmtId="0" fontId="114" fillId="0" borderId="166" xfId="0" applyFont="1" applyBorder="1" applyAlignment="1">
      <alignment horizontal="left" indent="1"/>
    </xf>
    <xf numFmtId="43" fontId="114" fillId="0" borderId="166" xfId="7" applyFont="1" applyBorder="1" applyAlignment="1">
      <alignment horizontal="left" indent="1"/>
    </xf>
    <xf numFmtId="43" fontId="117" fillId="0" borderId="166" xfId="7" applyFont="1" applyBorder="1"/>
    <xf numFmtId="43" fontId="117" fillId="84" borderId="166" xfId="7" applyFont="1" applyFill="1" applyBorder="1"/>
    <xf numFmtId="0" fontId="117" fillId="84" borderId="166" xfId="0" applyFont="1" applyFill="1" applyBorder="1"/>
    <xf numFmtId="0" fontId="117" fillId="0" borderId="166" xfId="0" applyFont="1" applyBorder="1"/>
    <xf numFmtId="0" fontId="114" fillId="0" borderId="167" xfId="0" applyFont="1" applyBorder="1"/>
    <xf numFmtId="167" fontId="114" fillId="0" borderId="173" xfId="7" applyNumberFormat="1" applyFont="1" applyBorder="1" applyAlignment="1">
      <alignment horizontal="left" indent="1"/>
    </xf>
    <xf numFmtId="167" fontId="114" fillId="81" borderId="173" xfId="7" applyNumberFormat="1" applyFont="1" applyFill="1" applyBorder="1"/>
    <xf numFmtId="167" fontId="114" fillId="81" borderId="166" xfId="7" applyNumberFormat="1" applyFont="1" applyFill="1" applyBorder="1"/>
    <xf numFmtId="0" fontId="114" fillId="81" borderId="166" xfId="0" applyFont="1" applyFill="1" applyBorder="1"/>
    <xf numFmtId="0" fontId="114" fillId="81" borderId="167" xfId="0" applyFont="1" applyFill="1" applyBorder="1"/>
    <xf numFmtId="0" fontId="114" fillId="0" borderId="166" xfId="0" applyFont="1" applyFill="1" applyBorder="1"/>
    <xf numFmtId="0" fontId="114" fillId="0" borderId="167" xfId="0" applyFont="1" applyFill="1" applyBorder="1"/>
    <xf numFmtId="167" fontId="114" fillId="0" borderId="175" xfId="7" applyNumberFormat="1" applyFont="1" applyFill="1" applyBorder="1" applyAlignment="1">
      <alignment horizontal="left" wrapText="1" indent="1"/>
    </xf>
    <xf numFmtId="167" fontId="114" fillId="0" borderId="174" xfId="7" applyNumberFormat="1" applyFont="1" applyFill="1" applyBorder="1"/>
    <xf numFmtId="0" fontId="114" fillId="0" borderId="174" xfId="0" applyFont="1" applyFill="1" applyBorder="1"/>
    <xf numFmtId="0" fontId="114" fillId="0" borderId="176" xfId="0" applyFont="1" applyFill="1" applyBorder="1"/>
    <xf numFmtId="167" fontId="114" fillId="0" borderId="166" xfId="7" applyNumberFormat="1" applyFont="1" applyFill="1" applyBorder="1" applyAlignment="1">
      <alignment horizontal="left" vertical="center" wrapText="1"/>
    </xf>
    <xf numFmtId="167" fontId="114" fillId="0" borderId="166" xfId="7" applyNumberFormat="1" applyFont="1" applyBorder="1" applyAlignment="1">
      <alignment horizontal="center" vertical="center" wrapText="1"/>
    </xf>
    <xf numFmtId="167" fontId="114" fillId="0" borderId="166" xfId="7" applyNumberFormat="1" applyFont="1" applyBorder="1" applyAlignment="1">
      <alignment horizontal="center" vertical="center"/>
    </xf>
    <xf numFmtId="43" fontId="114" fillId="0" borderId="166" xfId="7" applyFont="1" applyBorder="1"/>
    <xf numFmtId="43" fontId="119" fillId="0" borderId="166" xfId="7" applyFont="1" applyBorder="1"/>
    <xf numFmtId="167" fontId="119" fillId="0" borderId="166" xfId="7" applyNumberFormat="1" applyFont="1" applyBorder="1"/>
    <xf numFmtId="167" fontId="119" fillId="0" borderId="170" xfId="7" applyNumberFormat="1" applyFont="1" applyBorder="1"/>
    <xf numFmtId="167" fontId="4" fillId="3" borderId="99" xfId="7" applyNumberFormat="1" applyFont="1" applyFill="1" applyBorder="1"/>
    <xf numFmtId="167" fontId="4" fillId="3" borderId="114" xfId="7" applyNumberFormat="1" applyFont="1" applyFill="1" applyBorder="1"/>
    <xf numFmtId="167" fontId="4" fillId="3" borderId="99" xfId="7" applyNumberFormat="1" applyFont="1" applyFill="1" applyBorder="1" applyAlignment="1">
      <alignment vertical="center"/>
    </xf>
    <xf numFmtId="0" fontId="140" fillId="0" borderId="29" xfId="0" applyFont="1" applyBorder="1" applyAlignment="1">
      <alignment wrapText="1"/>
    </xf>
    <xf numFmtId="167" fontId="0" fillId="0" borderId="0" xfId="0" applyNumberFormat="1"/>
    <xf numFmtId="167" fontId="0" fillId="0" borderId="0" xfId="7" applyNumberFormat="1" applyFont="1"/>
    <xf numFmtId="167" fontId="115" fillId="0" borderId="0" xfId="0" applyNumberFormat="1" applyFont="1" applyBorder="1"/>
    <xf numFmtId="167" fontId="143" fillId="0" borderId="0" xfId="7" applyNumberFormat="1" applyFont="1"/>
    <xf numFmtId="14" fontId="0" fillId="0" borderId="0" xfId="0" applyNumberFormat="1"/>
    <xf numFmtId="0" fontId="17" fillId="0" borderId="1" xfId="0" applyFont="1" applyFill="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xf>
    <xf numFmtId="0" fontId="12" fillId="0" borderId="0" xfId="0" applyFont="1" applyAlignment="1">
      <alignment horizontal="left" vertical="center"/>
    </xf>
    <xf numFmtId="0" fontId="144" fillId="0" borderId="160" xfId="0" applyFont="1" applyBorder="1" applyAlignment="1">
      <alignment horizontal="center" vertical="center" wrapText="1"/>
    </xf>
    <xf numFmtId="10" fontId="4" fillId="0" borderId="0" xfId="0" applyNumberFormat="1" applyFont="1" applyFill="1" applyAlignment="1">
      <alignment horizontal="left" vertical="center"/>
    </xf>
    <xf numFmtId="167" fontId="114" fillId="0" borderId="0" xfId="0" applyNumberFormat="1" applyFont="1" applyAlignment="1">
      <alignment horizontal="center" vertical="center"/>
    </xf>
    <xf numFmtId="167" fontId="114" fillId="0" borderId="0" xfId="0" applyNumberFormat="1" applyFont="1" applyBorder="1" applyAlignment="1">
      <alignment horizontal="left"/>
    </xf>
    <xf numFmtId="167" fontId="114" fillId="0" borderId="0" xfId="0" applyNumberFormat="1" applyFont="1"/>
    <xf numFmtId="167" fontId="117" fillId="0" borderId="173" xfId="7" applyNumberFormat="1" applyFont="1" applyBorder="1" applyAlignment="1">
      <alignment horizontal="left" indent="1"/>
    </xf>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0" xfId="0" applyFont="1" applyBorder="1" applyAlignment="1">
      <alignment horizontal="center" vertical="center" wrapText="1"/>
    </xf>
    <xf numFmtId="0" fontId="139" fillId="0" borderId="29" xfId="0" applyFont="1" applyBorder="1" applyAlignment="1">
      <alignment horizontal="center" vertical="center" wrapText="1"/>
    </xf>
    <xf numFmtId="0" fontId="139" fillId="0" borderId="161" xfId="0" applyFont="1" applyBorder="1" applyAlignment="1">
      <alignment horizontal="center" vertical="center" wrapText="1"/>
    </xf>
    <xf numFmtId="167" fontId="0" fillId="0" borderId="172" xfId="7" applyNumberFormat="1" applyFont="1" applyBorder="1" applyAlignment="1">
      <alignment horizontal="center"/>
    </xf>
    <xf numFmtId="167" fontId="0" fillId="0" borderId="168" xfId="7" applyNumberFormat="1" applyFont="1" applyBorder="1" applyAlignment="1">
      <alignment horizontal="center"/>
    </xf>
    <xf numFmtId="167" fontId="0" fillId="0" borderId="171"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8"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59"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xf numFmtId="49" fontId="104" fillId="0" borderId="0" xfId="0" applyNumberFormat="1" applyFont="1" applyFill="1" applyBorder="1" applyAlignment="1">
      <alignment horizontal="center" vertical="center"/>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3" fillId="76" borderId="148" xfId="0" applyFont="1" applyFill="1" applyBorder="1" applyAlignment="1">
      <alignment horizontal="center"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3" fillId="0" borderId="148" xfId="0" applyFont="1" applyFill="1" applyBorder="1" applyAlignment="1">
      <alignment horizontal="center" vertical="center"/>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35"/>
  <sheetViews>
    <sheetView tabSelected="1" zoomScale="85" zoomScaleNormal="85" workbookViewId="0">
      <pane xSplit="1" ySplit="7" topLeftCell="B8" activePane="bottomRight" state="frozen"/>
      <selection pane="topRight" activeCell="B1" sqref="B1"/>
      <selection pane="bottomLeft" activeCell="A8" sqref="A8"/>
      <selection pane="bottomRight" activeCell="B8" sqref="B8"/>
    </sheetView>
  </sheetViews>
  <sheetFormatPr defaultRowHeight="15"/>
  <cols>
    <col min="1" max="1" width="10.28515625" style="2" customWidth="1"/>
    <col min="2" max="2" width="153" bestFit="1" customWidth="1"/>
    <col min="3" max="3" width="39.42578125" customWidth="1"/>
    <col min="4" max="4" width="11.7109375" bestFit="1" customWidth="1"/>
    <col min="6" max="6" width="10.85546875" bestFit="1" customWidth="1"/>
    <col min="7" max="7" width="25" customWidth="1"/>
  </cols>
  <sheetData>
    <row r="1" spans="1:6" ht="15.75">
      <c r="A1" s="9"/>
      <c r="B1" s="130" t="s">
        <v>159</v>
      </c>
      <c r="C1" s="54"/>
    </row>
    <row r="2" spans="1:6" s="127" customFormat="1" ht="15.75">
      <c r="A2" s="168">
        <v>1</v>
      </c>
      <c r="B2" s="128" t="s">
        <v>160</v>
      </c>
      <c r="C2" s="681" t="s">
        <v>959</v>
      </c>
      <c r="D2" s="683">
        <v>45657</v>
      </c>
    </row>
    <row r="3" spans="1:6" s="127" customFormat="1" ht="15.75">
      <c r="A3" s="168">
        <v>2</v>
      </c>
      <c r="B3" s="129" t="s">
        <v>161</v>
      </c>
      <c r="C3" s="681" t="s">
        <v>960</v>
      </c>
      <c r="D3" s="676"/>
    </row>
    <row r="4" spans="1:6" s="127" customFormat="1" ht="15.75">
      <c r="A4" s="168">
        <v>3</v>
      </c>
      <c r="B4" s="129" t="s">
        <v>162</v>
      </c>
      <c r="C4" s="681" t="s">
        <v>961</v>
      </c>
      <c r="D4" s="676"/>
    </row>
    <row r="5" spans="1:6" s="127" customFormat="1" ht="15.75">
      <c r="A5" s="169">
        <v>4</v>
      </c>
      <c r="B5" s="132" t="s">
        <v>163</v>
      </c>
      <c r="C5" s="681" t="s">
        <v>962</v>
      </c>
      <c r="D5" s="676"/>
    </row>
    <row r="6" spans="1:6" s="131" customFormat="1" ht="65.25" customHeight="1">
      <c r="A6" s="801" t="s">
        <v>321</v>
      </c>
      <c r="B6" s="802"/>
      <c r="C6" s="802"/>
    </row>
    <row r="7" spans="1:6">
      <c r="A7" s="270" t="s">
        <v>251</v>
      </c>
      <c r="B7" s="271" t="s">
        <v>164</v>
      </c>
    </row>
    <row r="8" spans="1:6">
      <c r="A8" s="272">
        <v>1</v>
      </c>
      <c r="B8" s="268" t="s">
        <v>139</v>
      </c>
    </row>
    <row r="9" spans="1:6">
      <c r="A9" s="272">
        <v>2</v>
      </c>
      <c r="B9" s="268" t="s">
        <v>165</v>
      </c>
    </row>
    <row r="10" spans="1:6">
      <c r="A10" s="272">
        <v>3</v>
      </c>
      <c r="B10" s="268" t="s">
        <v>166</v>
      </c>
    </row>
    <row r="11" spans="1:6">
      <c r="A11" s="272">
        <v>4</v>
      </c>
      <c r="B11" s="268" t="s">
        <v>167</v>
      </c>
      <c r="C11" s="126"/>
      <c r="F11" s="789"/>
    </row>
    <row r="12" spans="1:6">
      <c r="A12" s="272">
        <v>5</v>
      </c>
      <c r="B12" s="268" t="s">
        <v>107</v>
      </c>
      <c r="F12" s="789"/>
    </row>
    <row r="13" spans="1:6">
      <c r="A13" s="272">
        <v>6</v>
      </c>
      <c r="B13" s="273" t="s">
        <v>91</v>
      </c>
    </row>
    <row r="14" spans="1:6">
      <c r="A14" s="272">
        <v>7</v>
      </c>
      <c r="B14" s="268" t="s">
        <v>168</v>
      </c>
    </row>
    <row r="15" spans="1:6">
      <c r="A15" s="272">
        <v>8</v>
      </c>
      <c r="B15" s="268" t="s">
        <v>171</v>
      </c>
    </row>
    <row r="16" spans="1:6">
      <c r="A16" s="272">
        <v>9</v>
      </c>
      <c r="B16" s="268" t="s">
        <v>85</v>
      </c>
    </row>
    <row r="17" spans="1:2">
      <c r="A17" s="274" t="s">
        <v>378</v>
      </c>
      <c r="B17" s="268" t="s">
        <v>358</v>
      </c>
    </row>
    <row r="18" spans="1:2">
      <c r="A18" s="272">
        <v>10</v>
      </c>
      <c r="B18" s="268" t="s">
        <v>172</v>
      </c>
    </row>
    <row r="19" spans="1:2">
      <c r="A19" s="272">
        <v>11</v>
      </c>
      <c r="B19" s="273" t="s">
        <v>155</v>
      </c>
    </row>
    <row r="20" spans="1:2">
      <c r="A20" s="272">
        <v>12</v>
      </c>
      <c r="B20" s="273" t="s">
        <v>152</v>
      </c>
    </row>
    <row r="21" spans="1:2">
      <c r="A21" s="272">
        <v>13</v>
      </c>
      <c r="B21" s="275" t="s">
        <v>297</v>
      </c>
    </row>
    <row r="22" spans="1:2">
      <c r="A22" s="272">
        <v>14</v>
      </c>
      <c r="B22" s="268" t="s">
        <v>351</v>
      </c>
    </row>
    <row r="23" spans="1:2">
      <c r="A23" s="276">
        <v>15</v>
      </c>
      <c r="B23" s="268" t="s">
        <v>74</v>
      </c>
    </row>
    <row r="24" spans="1:2">
      <c r="A24" s="276">
        <v>15.1</v>
      </c>
      <c r="B24" s="268" t="s">
        <v>387</v>
      </c>
    </row>
    <row r="25" spans="1:2">
      <c r="A25" s="276">
        <v>16</v>
      </c>
      <c r="B25" s="268" t="s">
        <v>453</v>
      </c>
    </row>
    <row r="26" spans="1:2">
      <c r="A26" s="276">
        <v>17</v>
      </c>
      <c r="B26" s="268" t="s">
        <v>677</v>
      </c>
    </row>
    <row r="27" spans="1:2">
      <c r="A27" s="276">
        <v>18</v>
      </c>
      <c r="B27" s="268" t="s">
        <v>938</v>
      </c>
    </row>
    <row r="28" spans="1:2">
      <c r="A28" s="276">
        <v>19</v>
      </c>
      <c r="B28" s="268" t="s">
        <v>939</v>
      </c>
    </row>
    <row r="29" spans="1:2">
      <c r="A29" s="276">
        <v>20</v>
      </c>
      <c r="B29" s="268" t="s">
        <v>940</v>
      </c>
    </row>
    <row r="30" spans="1:2">
      <c r="A30" s="276">
        <v>21</v>
      </c>
      <c r="B30" s="268" t="s">
        <v>546</v>
      </c>
    </row>
    <row r="31" spans="1:2">
      <c r="A31" s="276">
        <v>22</v>
      </c>
      <c r="B31" s="268" t="s">
        <v>941</v>
      </c>
    </row>
    <row r="32" spans="1:2" ht="25.5">
      <c r="A32" s="276">
        <v>23</v>
      </c>
      <c r="B32" s="617" t="s">
        <v>937</v>
      </c>
    </row>
    <row r="33" spans="1:2">
      <c r="A33" s="276">
        <v>24</v>
      </c>
      <c r="B33" s="268" t="s">
        <v>942</v>
      </c>
    </row>
    <row r="34" spans="1:2">
      <c r="A34" s="276">
        <v>25</v>
      </c>
      <c r="B34" s="268" t="s">
        <v>943</v>
      </c>
    </row>
    <row r="35" spans="1:2">
      <c r="A35" s="272">
        <v>26</v>
      </c>
      <c r="B35" s="268"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27" activePane="bottomRight" state="frozen"/>
      <selection activeCell="B2" sqref="B2"/>
      <selection pane="topRight" activeCell="B2" sqref="B2"/>
      <selection pane="bottomLeft" activeCell="B2" sqref="B2"/>
      <selection pane="bottomRight" activeCell="C45" sqref="C45"/>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JSC "VTB Bank (Georgia)"</v>
      </c>
      <c r="D1" s="2"/>
      <c r="E1" s="2"/>
      <c r="F1" s="2"/>
    </row>
    <row r="2" spans="1:6" s="21" customFormat="1" ht="15.75" customHeight="1">
      <c r="A2" s="21" t="s">
        <v>109</v>
      </c>
      <c r="B2" s="337">
        <f>Info!D2</f>
        <v>45657</v>
      </c>
    </row>
    <row r="3" spans="1:6" s="21" customFormat="1" ht="15.75" customHeight="1"/>
    <row r="4" spans="1:6" ht="15.75" thickBot="1">
      <c r="A4" s="5" t="s">
        <v>257</v>
      </c>
      <c r="B4" s="30" t="s">
        <v>85</v>
      </c>
    </row>
    <row r="5" spans="1:6">
      <c r="A5" s="87" t="s">
        <v>25</v>
      </c>
      <c r="B5" s="88"/>
      <c r="C5" s="89" t="s">
        <v>26</v>
      </c>
    </row>
    <row r="6" spans="1:6">
      <c r="A6" s="90">
        <v>1</v>
      </c>
      <c r="B6" s="50" t="s">
        <v>27</v>
      </c>
      <c r="C6" s="178">
        <f>SUM(C7:C11)</f>
        <v>287391670.62415457</v>
      </c>
    </row>
    <row r="7" spans="1:6">
      <c r="A7" s="90">
        <v>2</v>
      </c>
      <c r="B7" s="47" t="s">
        <v>28</v>
      </c>
      <c r="C7" s="746">
        <v>209008277</v>
      </c>
    </row>
    <row r="8" spans="1:6">
      <c r="A8" s="90">
        <v>3</v>
      </c>
      <c r="B8" s="41" t="s">
        <v>29</v>
      </c>
      <c r="C8" s="746"/>
    </row>
    <row r="9" spans="1:6">
      <c r="A9" s="90">
        <v>4</v>
      </c>
      <c r="B9" s="41" t="s">
        <v>30</v>
      </c>
      <c r="C9" s="746">
        <v>12471274</v>
      </c>
    </row>
    <row r="10" spans="1:6">
      <c r="A10" s="90">
        <v>5</v>
      </c>
      <c r="B10" s="41" t="s">
        <v>31</v>
      </c>
      <c r="C10" s="746"/>
    </row>
    <row r="11" spans="1:6">
      <c r="A11" s="90">
        <v>6</v>
      </c>
      <c r="B11" s="48" t="s">
        <v>32</v>
      </c>
      <c r="C11" s="746">
        <v>65912119.624154583</v>
      </c>
    </row>
    <row r="12" spans="1:6" s="4" customFormat="1">
      <c r="A12" s="90">
        <v>7</v>
      </c>
      <c r="B12" s="50" t="s">
        <v>33</v>
      </c>
      <c r="C12" s="747">
        <f>SUM(C13:C28)</f>
        <v>13485939.640000001</v>
      </c>
    </row>
    <row r="13" spans="1:6" s="4" customFormat="1">
      <c r="A13" s="90">
        <v>8</v>
      </c>
      <c r="B13" s="49" t="s">
        <v>34</v>
      </c>
      <c r="C13" s="748">
        <v>12471274</v>
      </c>
    </row>
    <row r="14" spans="1:6" s="4" customFormat="1" ht="25.5">
      <c r="A14" s="90">
        <v>9</v>
      </c>
      <c r="B14" s="42" t="s">
        <v>35</v>
      </c>
      <c r="C14" s="748"/>
    </row>
    <row r="15" spans="1:6" s="4" customFormat="1">
      <c r="A15" s="90">
        <v>10</v>
      </c>
      <c r="B15" s="43" t="s">
        <v>36</v>
      </c>
      <c r="C15" s="748">
        <v>1014665.6400000001</v>
      </c>
    </row>
    <row r="16" spans="1:6" s="4" customFormat="1">
      <c r="A16" s="90">
        <v>11</v>
      </c>
      <c r="B16" s="44" t="s">
        <v>37</v>
      </c>
      <c r="C16" s="748"/>
    </row>
    <row r="17" spans="1:5" s="4" customFormat="1">
      <c r="A17" s="90">
        <v>12</v>
      </c>
      <c r="B17" s="43" t="s">
        <v>38</v>
      </c>
      <c r="C17" s="748"/>
    </row>
    <row r="18" spans="1:5" s="4" customFormat="1">
      <c r="A18" s="90">
        <v>13</v>
      </c>
      <c r="B18" s="43" t="s">
        <v>39</v>
      </c>
      <c r="C18" s="748"/>
    </row>
    <row r="19" spans="1:5" s="4" customFormat="1">
      <c r="A19" s="90">
        <v>14</v>
      </c>
      <c r="B19" s="43" t="s">
        <v>40</v>
      </c>
      <c r="C19" s="748"/>
    </row>
    <row r="20" spans="1:5" s="4" customFormat="1" ht="25.5">
      <c r="A20" s="90">
        <v>15</v>
      </c>
      <c r="B20" s="43" t="s">
        <v>41</v>
      </c>
      <c r="C20" s="748"/>
    </row>
    <row r="21" spans="1:5" s="4" customFormat="1" ht="25.5">
      <c r="A21" s="90">
        <v>16</v>
      </c>
      <c r="B21" s="42" t="s">
        <v>42</v>
      </c>
      <c r="C21" s="748"/>
    </row>
    <row r="22" spans="1:5" s="4" customFormat="1">
      <c r="A22" s="90">
        <v>17</v>
      </c>
      <c r="B22" s="91" t="s">
        <v>43</v>
      </c>
      <c r="C22" s="748"/>
    </row>
    <row r="23" spans="1:5" s="4" customFormat="1">
      <c r="A23" s="90">
        <v>18</v>
      </c>
      <c r="B23" s="618" t="s">
        <v>726</v>
      </c>
      <c r="C23" s="748"/>
    </row>
    <row r="24" spans="1:5" s="4" customFormat="1" ht="25.5">
      <c r="A24" s="90">
        <v>19</v>
      </c>
      <c r="B24" s="42" t="s">
        <v>44</v>
      </c>
      <c r="C24" s="748"/>
    </row>
    <row r="25" spans="1:5" s="4" customFormat="1" ht="25.5">
      <c r="A25" s="90">
        <v>20</v>
      </c>
      <c r="B25" s="42" t="s">
        <v>45</v>
      </c>
      <c r="C25" s="748"/>
    </row>
    <row r="26" spans="1:5" s="4" customFormat="1" ht="25.5">
      <c r="A26" s="90">
        <v>21</v>
      </c>
      <c r="B26" s="45" t="s">
        <v>46</v>
      </c>
      <c r="C26" s="748"/>
    </row>
    <row r="27" spans="1:5" s="4" customFormat="1">
      <c r="A27" s="90">
        <v>22</v>
      </c>
      <c r="B27" s="45" t="s">
        <v>47</v>
      </c>
      <c r="C27" s="748"/>
    </row>
    <row r="28" spans="1:5" s="4" customFormat="1" ht="25.5">
      <c r="A28" s="90">
        <v>23</v>
      </c>
      <c r="B28" s="45" t="s">
        <v>48</v>
      </c>
      <c r="C28" s="748"/>
    </row>
    <row r="29" spans="1:5" s="4" customFormat="1">
      <c r="A29" s="90">
        <v>24</v>
      </c>
      <c r="B29" s="51" t="s">
        <v>22</v>
      </c>
      <c r="C29" s="747">
        <f>C6-C12</f>
        <v>273905730.98415458</v>
      </c>
      <c r="E29" s="659">
        <f>C29-'1. key ratios'!C8</f>
        <v>0</v>
      </c>
    </row>
    <row r="30" spans="1:5" s="4" customFormat="1">
      <c r="A30" s="92"/>
      <c r="B30" s="46"/>
      <c r="C30" s="748"/>
    </row>
    <row r="31" spans="1:5" s="4" customFormat="1">
      <c r="A31" s="92">
        <v>25</v>
      </c>
      <c r="B31" s="51" t="s">
        <v>49</v>
      </c>
      <c r="C31" s="747">
        <f>C32+C35</f>
        <v>43188500</v>
      </c>
    </row>
    <row r="32" spans="1:5" s="4" customFormat="1">
      <c r="A32" s="92">
        <v>26</v>
      </c>
      <c r="B32" s="41" t="s">
        <v>50</v>
      </c>
      <c r="C32" s="749">
        <f>C33+C34</f>
        <v>43188500</v>
      </c>
    </row>
    <row r="33" spans="1:3" s="4" customFormat="1">
      <c r="A33" s="92">
        <v>27</v>
      </c>
      <c r="B33" s="124" t="s">
        <v>51</v>
      </c>
      <c r="C33" s="748">
        <v>43188500</v>
      </c>
    </row>
    <row r="34" spans="1:3" s="4" customFormat="1">
      <c r="A34" s="92">
        <v>28</v>
      </c>
      <c r="B34" s="124" t="s">
        <v>52</v>
      </c>
      <c r="C34" s="748"/>
    </row>
    <row r="35" spans="1:3" s="4" customFormat="1">
      <c r="A35" s="92">
        <v>29</v>
      </c>
      <c r="B35" s="41" t="s">
        <v>53</v>
      </c>
      <c r="C35" s="748"/>
    </row>
    <row r="36" spans="1:3" s="4" customFormat="1">
      <c r="A36" s="92">
        <v>30</v>
      </c>
      <c r="B36" s="51" t="s">
        <v>54</v>
      </c>
      <c r="C36" s="747">
        <f>SUM(C37:C41)</f>
        <v>0</v>
      </c>
    </row>
    <row r="37" spans="1:3" s="4" customFormat="1">
      <c r="A37" s="92">
        <v>31</v>
      </c>
      <c r="B37" s="42" t="s">
        <v>55</v>
      </c>
      <c r="C37" s="748"/>
    </row>
    <row r="38" spans="1:3" s="4" customFormat="1">
      <c r="A38" s="92">
        <v>32</v>
      </c>
      <c r="B38" s="43" t="s">
        <v>56</v>
      </c>
      <c r="C38" s="748"/>
    </row>
    <row r="39" spans="1:3" s="4" customFormat="1" ht="25.5">
      <c r="A39" s="92">
        <v>33</v>
      </c>
      <c r="B39" s="42" t="s">
        <v>57</v>
      </c>
      <c r="C39" s="748"/>
    </row>
    <row r="40" spans="1:3" s="4" customFormat="1" ht="25.5">
      <c r="A40" s="92">
        <v>34</v>
      </c>
      <c r="B40" s="42" t="s">
        <v>45</v>
      </c>
      <c r="C40" s="748"/>
    </row>
    <row r="41" spans="1:3" s="4" customFormat="1" ht="25.5">
      <c r="A41" s="92">
        <v>35</v>
      </c>
      <c r="B41" s="45" t="s">
        <v>58</v>
      </c>
      <c r="C41" s="748"/>
    </row>
    <row r="42" spans="1:3" s="4" customFormat="1">
      <c r="A42" s="92">
        <v>36</v>
      </c>
      <c r="B42" s="51" t="s">
        <v>23</v>
      </c>
      <c r="C42" s="747">
        <f>C31-C36</f>
        <v>43188500</v>
      </c>
    </row>
    <row r="43" spans="1:3" s="4" customFormat="1">
      <c r="A43" s="92"/>
      <c r="B43" s="46"/>
      <c r="C43" s="748"/>
    </row>
    <row r="44" spans="1:3" s="4" customFormat="1">
      <c r="A44" s="92">
        <v>37</v>
      </c>
      <c r="B44" s="52" t="s">
        <v>59</v>
      </c>
      <c r="C44" s="747">
        <f>SUM(C45:C47)</f>
        <v>42079620.802760005</v>
      </c>
    </row>
    <row r="45" spans="1:3" s="4" customFormat="1">
      <c r="A45" s="92">
        <v>38</v>
      </c>
      <c r="B45" s="41" t="s">
        <v>60</v>
      </c>
      <c r="C45" s="748">
        <v>42079620.802760005</v>
      </c>
    </row>
    <row r="46" spans="1:3" s="4" customFormat="1">
      <c r="A46" s="92">
        <v>39</v>
      </c>
      <c r="B46" s="41" t="s">
        <v>61</v>
      </c>
      <c r="C46" s="748"/>
    </row>
    <row r="47" spans="1:3" s="4" customFormat="1">
      <c r="A47" s="92">
        <v>40</v>
      </c>
      <c r="B47" s="619" t="s">
        <v>725</v>
      </c>
      <c r="C47" s="748"/>
    </row>
    <row r="48" spans="1:3" s="4" customFormat="1">
      <c r="A48" s="92">
        <v>41</v>
      </c>
      <c r="B48" s="52" t="s">
        <v>62</v>
      </c>
      <c r="C48" s="747">
        <f>SUM(C49:C52)</f>
        <v>0</v>
      </c>
    </row>
    <row r="49" spans="1:3" s="4" customFormat="1">
      <c r="A49" s="92">
        <v>42</v>
      </c>
      <c r="B49" s="42" t="s">
        <v>63</v>
      </c>
      <c r="C49" s="748"/>
    </row>
    <row r="50" spans="1:3" s="4" customFormat="1">
      <c r="A50" s="92">
        <v>43</v>
      </c>
      <c r="B50" s="43" t="s">
        <v>64</v>
      </c>
      <c r="C50" s="748"/>
    </row>
    <row r="51" spans="1:3" s="4" customFormat="1" ht="25.5">
      <c r="A51" s="92">
        <v>44</v>
      </c>
      <c r="B51" s="42" t="s">
        <v>65</v>
      </c>
      <c r="C51" s="748"/>
    </row>
    <row r="52" spans="1:3" s="4" customFormat="1" ht="25.5">
      <c r="A52" s="92">
        <v>45</v>
      </c>
      <c r="B52" s="42" t="s">
        <v>45</v>
      </c>
      <c r="C52" s="748"/>
    </row>
    <row r="53" spans="1:3" s="4" customFormat="1" ht="15.75" thickBot="1">
      <c r="A53" s="92">
        <v>46</v>
      </c>
      <c r="B53" s="93" t="s">
        <v>24</v>
      </c>
      <c r="C53" s="179">
        <f>C44-C48</f>
        <v>42079620.802760005</v>
      </c>
    </row>
    <row r="55" spans="1:3">
      <c r="C55" s="695">
        <f>C29+C31+C44-'1. key ratios'!C10</f>
        <v>0</v>
      </c>
    </row>
    <row r="56" spans="1:3">
      <c r="B56" s="2" t="s">
        <v>141</v>
      </c>
      <c r="C56" s="695"/>
    </row>
    <row r="57" spans="1:3">
      <c r="C57" s="695"/>
    </row>
    <row r="58" spans="1:3">
      <c r="C58" s="695"/>
    </row>
    <row r="59" spans="1:3">
      <c r="C59" s="695"/>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23"/>
  <sheetViews>
    <sheetView workbookViewId="0">
      <selection activeCell="C15" sqref="C15:C17"/>
    </sheetView>
  </sheetViews>
  <sheetFormatPr defaultColWidth="9.28515625" defaultRowHeight="12.75"/>
  <cols>
    <col min="1" max="1" width="10.7109375" style="227" bestFit="1" customWidth="1"/>
    <col min="2" max="2" width="59" style="227" customWidth="1"/>
    <col min="3" max="3" width="16.7109375" style="227" bestFit="1" customWidth="1"/>
    <col min="4" max="4" width="22.28515625" style="227" customWidth="1"/>
    <col min="5" max="5" width="15" style="227" customWidth="1"/>
    <col min="6" max="16384" width="9.28515625" style="227"/>
  </cols>
  <sheetData>
    <row r="1" spans="1:7" ht="15">
      <c r="A1" s="17" t="s">
        <v>108</v>
      </c>
      <c r="B1" s="16" t="str">
        <f>Info!C2</f>
        <v>JSC "VTB Bank (Georgia)"</v>
      </c>
    </row>
    <row r="2" spans="1:7" s="21" customFormat="1" ht="15.75" customHeight="1">
      <c r="A2" s="21" t="s">
        <v>109</v>
      </c>
      <c r="B2" s="337">
        <f>Info!D2</f>
        <v>45657</v>
      </c>
    </row>
    <row r="3" spans="1:7" s="21" customFormat="1" ht="15.75" customHeight="1"/>
    <row r="4" spans="1:7" ht="13.5" thickBot="1">
      <c r="A4" s="228" t="s">
        <v>357</v>
      </c>
      <c r="B4" s="257" t="s">
        <v>358</v>
      </c>
    </row>
    <row r="5" spans="1:7" s="258" customFormat="1">
      <c r="A5" s="831" t="s">
        <v>359</v>
      </c>
      <c r="B5" s="832"/>
      <c r="C5" s="247" t="s">
        <v>360</v>
      </c>
      <c r="D5" s="248" t="s">
        <v>361</v>
      </c>
    </row>
    <row r="6" spans="1:7" s="259" customFormat="1">
      <c r="A6" s="249">
        <v>1</v>
      </c>
      <c r="B6" s="250" t="s">
        <v>362</v>
      </c>
      <c r="C6" s="250"/>
      <c r="D6" s="251"/>
    </row>
    <row r="7" spans="1:7" s="259" customFormat="1">
      <c r="A7" s="252" t="s">
        <v>363</v>
      </c>
      <c r="B7" s="253" t="s">
        <v>364</v>
      </c>
      <c r="C7" s="750">
        <v>4.4999999999999998E-2</v>
      </c>
      <c r="D7" s="658">
        <f>C7*'5. RWA'!$C$13</f>
        <v>24223946.208072066</v>
      </c>
    </row>
    <row r="8" spans="1:7" s="259" customFormat="1">
      <c r="A8" s="252" t="s">
        <v>365</v>
      </c>
      <c r="B8" s="253" t="s">
        <v>366</v>
      </c>
      <c r="C8" s="751">
        <v>0.06</v>
      </c>
      <c r="D8" s="658">
        <f>C8*'5. RWA'!$C$13</f>
        <v>32298594.944096088</v>
      </c>
      <c r="G8" s="796"/>
    </row>
    <row r="9" spans="1:7" s="259" customFormat="1">
      <c r="A9" s="252" t="s">
        <v>367</v>
      </c>
      <c r="B9" s="253" t="s">
        <v>368</v>
      </c>
      <c r="C9" s="751">
        <v>0.08</v>
      </c>
      <c r="D9" s="658">
        <f>C9*'5. RWA'!$C$13</f>
        <v>43064793.258794785</v>
      </c>
      <c r="G9" s="796"/>
    </row>
    <row r="10" spans="1:7" s="259" customFormat="1">
      <c r="A10" s="249" t="s">
        <v>369</v>
      </c>
      <c r="B10" s="250" t="s">
        <v>370</v>
      </c>
      <c r="C10" s="752"/>
      <c r="D10" s="657"/>
      <c r="G10" s="796"/>
    </row>
    <row r="11" spans="1:7" s="260" customFormat="1">
      <c r="A11" s="254" t="s">
        <v>371</v>
      </c>
      <c r="B11" s="255" t="s">
        <v>433</v>
      </c>
      <c r="C11" s="704">
        <v>2.5000000000000001E-2</v>
      </c>
      <c r="D11" s="656">
        <f>C11*'5. RWA'!$C$13</f>
        <v>13457747.89337337</v>
      </c>
    </row>
    <row r="12" spans="1:7" s="260" customFormat="1">
      <c r="A12" s="254" t="s">
        <v>372</v>
      </c>
      <c r="B12" s="255" t="s">
        <v>373</v>
      </c>
      <c r="C12" s="704">
        <v>2.5000000000000001E-3</v>
      </c>
      <c r="D12" s="656">
        <f>C12*'5. RWA'!$C$13</f>
        <v>1345774.789337337</v>
      </c>
    </row>
    <row r="13" spans="1:7" s="260" customFormat="1">
      <c r="A13" s="254" t="s">
        <v>374</v>
      </c>
      <c r="B13" s="255" t="s">
        <v>375</v>
      </c>
      <c r="C13" s="704"/>
      <c r="D13" s="656">
        <f>C13*'5. RWA'!$C$13</f>
        <v>0</v>
      </c>
    </row>
    <row r="14" spans="1:7" s="259" customFormat="1">
      <c r="A14" s="249" t="s">
        <v>376</v>
      </c>
      <c r="B14" s="250" t="s">
        <v>431</v>
      </c>
      <c r="C14" s="753"/>
      <c r="D14" s="657"/>
    </row>
    <row r="15" spans="1:7" s="259" customFormat="1">
      <c r="A15" s="269" t="s">
        <v>379</v>
      </c>
      <c r="B15" s="255" t="s">
        <v>432</v>
      </c>
      <c r="C15" s="704">
        <v>0.15601000813667437</v>
      </c>
      <c r="D15" s="656">
        <f>C15*'5. RWA'!$C$13</f>
        <v>83981734.333859682</v>
      </c>
    </row>
    <row r="16" spans="1:7" s="259" customFormat="1">
      <c r="A16" s="269" t="s">
        <v>380</v>
      </c>
      <c r="B16" s="255" t="s">
        <v>382</v>
      </c>
      <c r="C16" s="704">
        <v>0.17094865657210337</v>
      </c>
      <c r="D16" s="656">
        <f>C16*'5. RWA'!$C$13</f>
        <v>92023356.914329275</v>
      </c>
    </row>
    <row r="17" spans="1:6" s="259" customFormat="1">
      <c r="A17" s="269" t="s">
        <v>381</v>
      </c>
      <c r="B17" s="255" t="s">
        <v>429</v>
      </c>
      <c r="C17" s="704">
        <v>0.19060477293450992</v>
      </c>
      <c r="D17" s="656">
        <f>C17*'5. RWA'!$C$13</f>
        <v>102604439.25705242</v>
      </c>
    </row>
    <row r="18" spans="1:6" s="258" customFormat="1">
      <c r="A18" s="833" t="s">
        <v>430</v>
      </c>
      <c r="B18" s="834"/>
      <c r="C18" s="304" t="s">
        <v>360</v>
      </c>
      <c r="D18" s="655" t="s">
        <v>361</v>
      </c>
    </row>
    <row r="19" spans="1:6" s="259" customFormat="1">
      <c r="A19" s="256">
        <v>4</v>
      </c>
      <c r="B19" s="255" t="s">
        <v>22</v>
      </c>
      <c r="C19" s="303">
        <f>C7+C11+C12+C13+C15</f>
        <v>0.22851000813667438</v>
      </c>
      <c r="D19" s="658">
        <f>C19*'5. RWA'!$C$13</f>
        <v>123009203.22464246</v>
      </c>
      <c r="E19" s="705">
        <f>D19-'1. key ratios'!C11</f>
        <v>0</v>
      </c>
    </row>
    <row r="20" spans="1:6" s="259" customFormat="1">
      <c r="A20" s="256">
        <v>5</v>
      </c>
      <c r="B20" s="255" t="s">
        <v>86</v>
      </c>
      <c r="C20" s="303">
        <f>C8+C11+C12+C13+C16</f>
        <v>0.25844865657210336</v>
      </c>
      <c r="D20" s="658">
        <f>C20*'5. RWA'!$C$13</f>
        <v>139125474.54113606</v>
      </c>
      <c r="E20" s="705">
        <f>D20-'1. key ratios'!C12</f>
        <v>0</v>
      </c>
    </row>
    <row r="21" spans="1:6" s="259" customFormat="1" ht="13.5" thickBot="1">
      <c r="A21" s="261" t="s">
        <v>377</v>
      </c>
      <c r="B21" s="262" t="s">
        <v>85</v>
      </c>
      <c r="C21" s="305">
        <f>C9+C11+C12+C13+C17</f>
        <v>0.29810477293450993</v>
      </c>
      <c r="D21" s="654">
        <f>C21*'5. RWA'!$C$13</f>
        <v>160472755.19855791</v>
      </c>
      <c r="E21" s="705">
        <f>D21-'1. key ratios'!C13</f>
        <v>0</v>
      </c>
    </row>
    <row r="22" spans="1:6">
      <c r="F22" s="228"/>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70" zoomScaleNormal="70" workbookViewId="0">
      <pane xSplit="1" ySplit="5" topLeftCell="B45" activePane="bottomRight" state="frozen"/>
      <selection activeCell="B2" sqref="B2"/>
      <selection pane="topRight" activeCell="B2" sqref="B2"/>
      <selection pane="bottomLeft" activeCell="B2" sqref="B2"/>
      <selection pane="bottomRight" activeCell="C6" sqref="C6:C68"/>
    </sheetView>
  </sheetViews>
  <sheetFormatPr defaultRowHeight="15.75"/>
  <cols>
    <col min="1" max="1" width="10.7109375" style="38" customWidth="1"/>
    <col min="2" max="2" width="91.7109375" style="38" customWidth="1"/>
    <col min="3" max="3" width="53.28515625" style="650" customWidth="1"/>
    <col min="4" max="4" width="32.28515625" style="38" customWidth="1"/>
    <col min="5" max="5" width="9.42578125" customWidth="1"/>
  </cols>
  <sheetData>
    <row r="1" spans="1:6">
      <c r="A1" s="17" t="s">
        <v>108</v>
      </c>
      <c r="B1" s="19" t="str">
        <f>Info!C2</f>
        <v>JSC "VTB Bank (Georgia)"</v>
      </c>
      <c r="E1" s="2"/>
      <c r="F1" s="2"/>
    </row>
    <row r="2" spans="1:6" s="21" customFormat="1" ht="15.75" customHeight="1">
      <c r="A2" s="21" t="s">
        <v>109</v>
      </c>
      <c r="B2" s="337">
        <f>Info!D2</f>
        <v>45657</v>
      </c>
      <c r="C2" s="649"/>
    </row>
    <row r="3" spans="1:6" s="21" customFormat="1" ht="15.75" customHeight="1">
      <c r="A3" s="26"/>
      <c r="C3" s="649"/>
    </row>
    <row r="4" spans="1:6" s="21" customFormat="1" ht="15.75" customHeight="1" thickBot="1">
      <c r="A4" s="21" t="s">
        <v>258</v>
      </c>
      <c r="B4" s="147" t="s">
        <v>172</v>
      </c>
      <c r="C4" s="649"/>
      <c r="D4" s="149" t="s">
        <v>87</v>
      </c>
    </row>
    <row r="5" spans="1:6" ht="25.5">
      <c r="A5" s="99" t="s">
        <v>25</v>
      </c>
      <c r="B5" s="100" t="s">
        <v>144</v>
      </c>
      <c r="C5" s="648" t="s">
        <v>858</v>
      </c>
      <c r="D5" s="148" t="s">
        <v>173</v>
      </c>
    </row>
    <row r="6" spans="1:6">
      <c r="A6" s="446">
        <v>1</v>
      </c>
      <c r="B6" s="403" t="s">
        <v>843</v>
      </c>
      <c r="C6" s="647">
        <f>SUM(C7:C9)</f>
        <v>177116661.44420081</v>
      </c>
      <c r="D6" s="94"/>
      <c r="E6" s="7"/>
    </row>
    <row r="7" spans="1:6">
      <c r="A7" s="446">
        <v>1.1000000000000001</v>
      </c>
      <c r="B7" s="404" t="s">
        <v>96</v>
      </c>
      <c r="C7" s="646">
        <f>'2. SOFP'!E8</f>
        <v>170288482.97579998</v>
      </c>
      <c r="D7" s="95"/>
      <c r="E7" s="7"/>
    </row>
    <row r="8" spans="1:6">
      <c r="A8" s="446">
        <v>1.2</v>
      </c>
      <c r="B8" s="404" t="s">
        <v>97</v>
      </c>
      <c r="C8" s="646">
        <f>'2. SOFP'!E9</f>
        <v>351.36</v>
      </c>
      <c r="D8" s="95"/>
      <c r="E8" s="7"/>
    </row>
    <row r="9" spans="1:6">
      <c r="A9" s="446">
        <v>1.3</v>
      </c>
      <c r="B9" s="404" t="s">
        <v>98</v>
      </c>
      <c r="C9" s="646">
        <f>'2. SOFP'!E10</f>
        <v>6827827.1084008301</v>
      </c>
      <c r="D9" s="95"/>
      <c r="E9" s="7"/>
    </row>
    <row r="10" spans="1:6">
      <c r="A10" s="446">
        <v>2</v>
      </c>
      <c r="B10" s="405" t="s">
        <v>730</v>
      </c>
      <c r="C10" s="645"/>
      <c r="D10" s="95"/>
      <c r="E10" s="7"/>
    </row>
    <row r="11" spans="1:6">
      <c r="A11" s="446">
        <v>2.1</v>
      </c>
      <c r="B11" s="406" t="s">
        <v>731</v>
      </c>
      <c r="C11" s="644"/>
      <c r="D11" s="96"/>
      <c r="E11" s="8"/>
    </row>
    <row r="12" spans="1:6" ht="23.85" customHeight="1">
      <c r="A12" s="446">
        <v>3</v>
      </c>
      <c r="B12" s="407" t="s">
        <v>732</v>
      </c>
      <c r="C12" s="643"/>
      <c r="D12" s="96"/>
      <c r="E12" s="8"/>
    </row>
    <row r="13" spans="1:6" ht="23.1" customHeight="1">
      <c r="A13" s="446">
        <v>4</v>
      </c>
      <c r="B13" s="408" t="s">
        <v>733</v>
      </c>
      <c r="C13" s="643"/>
      <c r="D13" s="96"/>
      <c r="E13" s="8"/>
    </row>
    <row r="14" spans="1:6">
      <c r="A14" s="446">
        <v>5</v>
      </c>
      <c r="B14" s="408" t="s">
        <v>734</v>
      </c>
      <c r="C14" s="643">
        <f>SUM(C15:C17)</f>
        <v>54000</v>
      </c>
      <c r="D14" s="96"/>
      <c r="E14" s="8"/>
    </row>
    <row r="15" spans="1:6">
      <c r="A15" s="446">
        <v>5.0999999999999996</v>
      </c>
      <c r="B15" s="409" t="s">
        <v>735</v>
      </c>
      <c r="C15" s="642">
        <f>'2. SOFP'!C16</f>
        <v>54000</v>
      </c>
      <c r="D15" s="96"/>
      <c r="E15" s="7"/>
    </row>
    <row r="16" spans="1:6">
      <c r="A16" s="446">
        <v>5.2</v>
      </c>
      <c r="B16" s="409" t="s">
        <v>569</v>
      </c>
      <c r="C16" s="646"/>
      <c r="D16" s="95"/>
      <c r="E16" s="7"/>
    </row>
    <row r="17" spans="1:5">
      <c r="A17" s="446">
        <v>5.3</v>
      </c>
      <c r="B17" s="409" t="s">
        <v>736</v>
      </c>
      <c r="C17" s="646"/>
      <c r="D17" s="95"/>
      <c r="E17" s="7"/>
    </row>
    <row r="18" spans="1:5">
      <c r="A18" s="446">
        <v>6</v>
      </c>
      <c r="B18" s="407" t="s">
        <v>737</v>
      </c>
      <c r="C18" s="645">
        <f>SUM(C19:C20)</f>
        <v>171710196.38760653</v>
      </c>
      <c r="D18" s="95"/>
      <c r="E18" s="7"/>
    </row>
    <row r="19" spans="1:5">
      <c r="A19" s="446">
        <v>6.1</v>
      </c>
      <c r="B19" s="409" t="s">
        <v>569</v>
      </c>
      <c r="C19" s="644"/>
      <c r="D19" s="95"/>
      <c r="E19" s="7"/>
    </row>
    <row r="20" spans="1:5">
      <c r="A20" s="446">
        <v>6.2</v>
      </c>
      <c r="B20" s="409" t="s">
        <v>736</v>
      </c>
      <c r="C20" s="644">
        <f>'2. SOFP'!E21</f>
        <v>171710196.38760653</v>
      </c>
      <c r="D20" s="95"/>
      <c r="E20" s="7"/>
    </row>
    <row r="21" spans="1:5">
      <c r="A21" s="446">
        <v>7</v>
      </c>
      <c r="B21" s="410" t="s">
        <v>738</v>
      </c>
      <c r="C21" s="643">
        <f>'2. SOFP'!E22</f>
        <v>0</v>
      </c>
      <c r="D21" s="95"/>
      <c r="E21" s="7"/>
    </row>
    <row r="22" spans="1:5">
      <c r="A22" s="446">
        <v>8</v>
      </c>
      <c r="B22" s="411" t="s">
        <v>739</v>
      </c>
      <c r="C22" s="645"/>
      <c r="D22" s="95"/>
      <c r="E22" s="7"/>
    </row>
    <row r="23" spans="1:5">
      <c r="A23" s="446">
        <v>9</v>
      </c>
      <c r="B23" s="408" t="s">
        <v>740</v>
      </c>
      <c r="C23" s="645">
        <f>SUM(C24:C25)</f>
        <v>62111055.180000022</v>
      </c>
      <c r="D23" s="473"/>
      <c r="E23" s="7"/>
    </row>
    <row r="24" spans="1:5">
      <c r="A24" s="446">
        <v>9.1</v>
      </c>
      <c r="B24" s="412" t="s">
        <v>741</v>
      </c>
      <c r="C24" s="641">
        <f>'2. SOFP'!C25</f>
        <v>34039514.18</v>
      </c>
      <c r="D24" s="97"/>
      <c r="E24" s="7"/>
    </row>
    <row r="25" spans="1:5">
      <c r="A25" s="446">
        <v>9.1999999999999993</v>
      </c>
      <c r="B25" s="412" t="s">
        <v>742</v>
      </c>
      <c r="C25" s="641">
        <f>'2. SOFP'!C26</f>
        <v>28071541.000000019</v>
      </c>
      <c r="D25" s="472"/>
      <c r="E25" s="6"/>
    </row>
    <row r="26" spans="1:5">
      <c r="A26" s="446">
        <v>10</v>
      </c>
      <c r="B26" s="408" t="s">
        <v>36</v>
      </c>
      <c r="C26" s="640">
        <f>SUM(C27:C28)</f>
        <v>1014665.6400000001</v>
      </c>
      <c r="D26" s="614" t="s">
        <v>935</v>
      </c>
      <c r="E26" s="7"/>
    </row>
    <row r="27" spans="1:5">
      <c r="A27" s="446">
        <v>10.1</v>
      </c>
      <c r="B27" s="412" t="s">
        <v>743</v>
      </c>
      <c r="C27" s="646">
        <f>'7. LI1'!C29</f>
        <v>0</v>
      </c>
      <c r="D27" s="95"/>
      <c r="E27" s="7"/>
    </row>
    <row r="28" spans="1:5">
      <c r="A28" s="446">
        <v>10.199999999999999</v>
      </c>
      <c r="B28" s="412" t="s">
        <v>744</v>
      </c>
      <c r="C28" s="641">
        <f>'2. SOFP'!C29</f>
        <v>1014665.6400000001</v>
      </c>
      <c r="D28" s="95"/>
      <c r="E28" s="7"/>
    </row>
    <row r="29" spans="1:5">
      <c r="A29" s="446">
        <v>11</v>
      </c>
      <c r="B29" s="408" t="s">
        <v>745</v>
      </c>
      <c r="C29" s="645">
        <f>SUM(C30:C31)</f>
        <v>1069675.9100000001</v>
      </c>
      <c r="D29" s="95"/>
      <c r="E29" s="7"/>
    </row>
    <row r="30" spans="1:5">
      <c r="A30" s="446">
        <v>11.1</v>
      </c>
      <c r="B30" s="412" t="s">
        <v>746</v>
      </c>
      <c r="C30" s="641">
        <f>'2. SOFP'!C31</f>
        <v>752686.91</v>
      </c>
      <c r="D30" s="95"/>
      <c r="E30" s="7"/>
    </row>
    <row r="31" spans="1:5">
      <c r="A31" s="446">
        <v>11.2</v>
      </c>
      <c r="B31" s="412" t="s">
        <v>747</v>
      </c>
      <c r="C31" s="641">
        <f>'2. SOFP'!C32</f>
        <v>316989</v>
      </c>
      <c r="D31" s="95"/>
      <c r="E31" s="7"/>
    </row>
    <row r="32" spans="1:5">
      <c r="A32" s="446">
        <v>13</v>
      </c>
      <c r="B32" s="408" t="s">
        <v>99</v>
      </c>
      <c r="C32" s="645">
        <f>'2. SOFP'!E33</f>
        <v>37478030.35069108</v>
      </c>
      <c r="D32" s="95"/>
      <c r="E32" s="7"/>
    </row>
    <row r="33" spans="1:5">
      <c r="A33" s="446">
        <v>13.1</v>
      </c>
      <c r="B33" s="413" t="s">
        <v>748</v>
      </c>
      <c r="C33" s="641">
        <f>'2. SOFP'!C34</f>
        <v>21923263.27</v>
      </c>
      <c r="D33" s="95"/>
      <c r="E33" s="7"/>
    </row>
    <row r="34" spans="1:5">
      <c r="A34" s="446">
        <v>13.2</v>
      </c>
      <c r="B34" s="413" t="s">
        <v>749</v>
      </c>
      <c r="C34" s="641"/>
      <c r="D34" s="97"/>
      <c r="E34" s="7"/>
    </row>
    <row r="35" spans="1:5">
      <c r="A35" s="446">
        <v>14</v>
      </c>
      <c r="B35" s="414" t="s">
        <v>750</v>
      </c>
      <c r="C35" s="639">
        <f>SUM(C6,C10,C12,C13,C14,C18,C21,C22,C23,C26,C29,C32)</f>
        <v>450554284.91249847</v>
      </c>
      <c r="D35" s="97"/>
      <c r="E35" s="7"/>
    </row>
    <row r="36" spans="1:5">
      <c r="A36" s="446"/>
      <c r="B36" s="415" t="s">
        <v>104</v>
      </c>
      <c r="C36" s="638"/>
      <c r="D36" s="98"/>
      <c r="E36" s="7"/>
    </row>
    <row r="37" spans="1:5">
      <c r="A37" s="446">
        <v>15</v>
      </c>
      <c r="B37" s="416" t="s">
        <v>751</v>
      </c>
      <c r="C37" s="637"/>
      <c r="D37" s="472"/>
      <c r="E37" s="6"/>
    </row>
    <row r="38" spans="1:5">
      <c r="A38" s="446">
        <v>15.1</v>
      </c>
      <c r="B38" s="417" t="s">
        <v>731</v>
      </c>
      <c r="C38" s="646"/>
      <c r="D38" s="95"/>
      <c r="E38" s="7"/>
    </row>
    <row r="39" spans="1:5" ht="21">
      <c r="A39" s="446">
        <v>16</v>
      </c>
      <c r="B39" s="410" t="s">
        <v>752</v>
      </c>
      <c r="C39" s="645"/>
      <c r="D39" s="95"/>
      <c r="E39" s="7"/>
    </row>
    <row r="40" spans="1:5">
      <c r="A40" s="446">
        <v>17</v>
      </c>
      <c r="B40" s="410" t="s">
        <v>753</v>
      </c>
      <c r="C40" s="645">
        <f>SUM(C41:C44)</f>
        <v>13256020.650699999</v>
      </c>
      <c r="D40" s="95"/>
      <c r="E40" s="7"/>
    </row>
    <row r="41" spans="1:5">
      <c r="A41" s="446">
        <v>17.100000000000001</v>
      </c>
      <c r="B41" s="418" t="s">
        <v>754</v>
      </c>
      <c r="C41" s="646">
        <f>'2. SOFP'!E42</f>
        <v>13256020.650699999</v>
      </c>
      <c r="D41" s="95"/>
      <c r="E41" s="7"/>
    </row>
    <row r="42" spans="1:5">
      <c r="A42" s="461">
        <v>17.2</v>
      </c>
      <c r="B42" s="462" t="s">
        <v>100</v>
      </c>
      <c r="C42" s="641"/>
      <c r="D42" s="97"/>
      <c r="E42" s="7"/>
    </row>
    <row r="43" spans="1:5">
      <c r="A43" s="446">
        <v>17.3</v>
      </c>
      <c r="B43" s="463" t="s">
        <v>755</v>
      </c>
      <c r="C43" s="651"/>
      <c r="D43" s="464"/>
      <c r="E43" s="7"/>
    </row>
    <row r="44" spans="1:5">
      <c r="A44" s="446">
        <v>17.399999999999999</v>
      </c>
      <c r="B44" s="463" t="s">
        <v>756</v>
      </c>
      <c r="C44" s="651"/>
      <c r="D44" s="464"/>
      <c r="E44" s="7"/>
    </row>
    <row r="45" spans="1:5">
      <c r="A45" s="446">
        <v>18</v>
      </c>
      <c r="B45" s="465" t="s">
        <v>757</v>
      </c>
      <c r="C45" s="636">
        <f>'2. SOFP'!E46</f>
        <v>7886.4408932619499</v>
      </c>
      <c r="D45" s="471"/>
      <c r="E45" s="6"/>
    </row>
    <row r="46" spans="1:5">
      <c r="A46" s="446">
        <v>19</v>
      </c>
      <c r="B46" s="465" t="s">
        <v>758</v>
      </c>
      <c r="C46" s="653">
        <f>SUM(C47:C48)</f>
        <v>1292.7</v>
      </c>
      <c r="D46" s="466"/>
    </row>
    <row r="47" spans="1:5">
      <c r="A47" s="446">
        <v>19.100000000000001</v>
      </c>
      <c r="B47" s="467" t="s">
        <v>759</v>
      </c>
      <c r="C47" s="651">
        <f>'2. SOFP'!E48</f>
        <v>1292.7</v>
      </c>
      <c r="D47" s="466"/>
    </row>
    <row r="48" spans="1:5">
      <c r="A48" s="446">
        <v>19.2</v>
      </c>
      <c r="B48" s="467" t="s">
        <v>760</v>
      </c>
      <c r="C48" s="651"/>
      <c r="D48" s="466"/>
    </row>
    <row r="49" spans="1:4">
      <c r="A49" s="446">
        <v>20</v>
      </c>
      <c r="B49" s="423" t="s">
        <v>101</v>
      </c>
      <c r="C49" s="652">
        <f>'2. SOFP'!E50</f>
        <v>89812035.934200004</v>
      </c>
      <c r="D49" s="466"/>
    </row>
    <row r="50" spans="1:4">
      <c r="A50" s="446">
        <v>21</v>
      </c>
      <c r="B50" s="424" t="s">
        <v>89</v>
      </c>
      <c r="C50" s="652">
        <f>'2. SOFP'!E51</f>
        <v>16896878.295199998</v>
      </c>
      <c r="D50" s="466"/>
    </row>
    <row r="51" spans="1:4">
      <c r="A51" s="446">
        <v>21.1</v>
      </c>
      <c r="B51" s="419" t="s">
        <v>761</v>
      </c>
      <c r="C51" s="651">
        <f>'2. SOFP'!E52</f>
        <v>1060412.6299999999</v>
      </c>
      <c r="D51" s="466"/>
    </row>
    <row r="52" spans="1:4">
      <c r="A52" s="446">
        <v>22</v>
      </c>
      <c r="B52" s="423" t="s">
        <v>762</v>
      </c>
      <c r="C52" s="652">
        <f>SUM(C37,C39,C40,C45,C46,C49,C50)</f>
        <v>119974114.02099326</v>
      </c>
      <c r="D52" s="466"/>
    </row>
    <row r="53" spans="1:4">
      <c r="A53" s="446"/>
      <c r="B53" s="425" t="s">
        <v>763</v>
      </c>
      <c r="C53" s="651"/>
      <c r="D53" s="466"/>
    </row>
    <row r="54" spans="1:4">
      <c r="A54" s="446">
        <v>23</v>
      </c>
      <c r="B54" s="423" t="s">
        <v>105</v>
      </c>
      <c r="C54" s="652">
        <v>209008277</v>
      </c>
      <c r="D54" s="466"/>
    </row>
    <row r="55" spans="1:4">
      <c r="A55" s="446">
        <v>24</v>
      </c>
      <c r="B55" s="423" t="s">
        <v>764</v>
      </c>
      <c r="C55" s="652">
        <v>0</v>
      </c>
      <c r="D55" s="466"/>
    </row>
    <row r="56" spans="1:4">
      <c r="A56" s="446">
        <v>25</v>
      </c>
      <c r="B56" s="426" t="s">
        <v>102</v>
      </c>
      <c r="C56" s="652"/>
      <c r="D56" s="466"/>
    </row>
    <row r="57" spans="1:4">
      <c r="A57" s="446">
        <v>26</v>
      </c>
      <c r="B57" s="465" t="s">
        <v>765</v>
      </c>
      <c r="C57" s="652"/>
      <c r="D57" s="466"/>
    </row>
    <row r="58" spans="1:4">
      <c r="A58" s="446">
        <v>27</v>
      </c>
      <c r="B58" s="465" t="s">
        <v>766</v>
      </c>
      <c r="C58" s="652">
        <f>SUM(C59:C60)</f>
        <v>43188500</v>
      </c>
      <c r="D58" s="466"/>
    </row>
    <row r="59" spans="1:4">
      <c r="A59" s="446">
        <v>27.1</v>
      </c>
      <c r="B59" s="468" t="s">
        <v>767</v>
      </c>
      <c r="C59" s="651"/>
      <c r="D59" s="466"/>
    </row>
    <row r="60" spans="1:4">
      <c r="A60" s="446">
        <v>27.2</v>
      </c>
      <c r="B60" s="463" t="s">
        <v>768</v>
      </c>
      <c r="C60" s="651">
        <f>'2. SOFP'!E59</f>
        <v>43188500</v>
      </c>
      <c r="D60" s="466"/>
    </row>
    <row r="61" spans="1:4">
      <c r="A61" s="446">
        <v>28</v>
      </c>
      <c r="B61" s="424" t="s">
        <v>769</v>
      </c>
      <c r="C61" s="652"/>
      <c r="D61" s="466"/>
    </row>
    <row r="62" spans="1:4">
      <c r="A62" s="446">
        <v>29</v>
      </c>
      <c r="B62" s="465" t="s">
        <v>770</v>
      </c>
      <c r="C62" s="652">
        <f>SUM(C63:C65)</f>
        <v>12471274</v>
      </c>
      <c r="D62" s="466"/>
    </row>
    <row r="63" spans="1:4">
      <c r="A63" s="446">
        <v>29.1</v>
      </c>
      <c r="B63" s="469" t="s">
        <v>771</v>
      </c>
      <c r="C63" s="651">
        <f>'2. SOFP'!E63</f>
        <v>12471274</v>
      </c>
      <c r="D63" s="466"/>
    </row>
    <row r="64" spans="1:4" ht="24" customHeight="1">
      <c r="A64" s="446">
        <v>29.2</v>
      </c>
      <c r="B64" s="468" t="s">
        <v>772</v>
      </c>
      <c r="C64" s="651"/>
      <c r="D64" s="466"/>
    </row>
    <row r="65" spans="1:4" ht="22.35" customHeight="1">
      <c r="A65" s="446">
        <v>29.3</v>
      </c>
      <c r="B65" s="470" t="s">
        <v>773</v>
      </c>
      <c r="C65" s="651"/>
      <c r="D65" s="466"/>
    </row>
    <row r="66" spans="1:4">
      <c r="A66" s="446">
        <v>30</v>
      </c>
      <c r="B66" s="429" t="s">
        <v>103</v>
      </c>
      <c r="C66" s="652">
        <f>'2. SOFP'!E67</f>
        <v>65912119.624154583</v>
      </c>
      <c r="D66" s="466"/>
    </row>
    <row r="67" spans="1:4">
      <c r="A67" s="446">
        <v>31</v>
      </c>
      <c r="B67" s="428" t="s">
        <v>774</v>
      </c>
      <c r="C67" s="652">
        <f>SUM(C54,C55,C56,C57,C58,C61,C62,C66)</f>
        <v>330580170.62415457</v>
      </c>
      <c r="D67" s="466"/>
    </row>
    <row r="68" spans="1:4">
      <c r="A68" s="446">
        <v>32</v>
      </c>
      <c r="B68" s="429" t="s">
        <v>775</v>
      </c>
      <c r="C68" s="652">
        <f>SUM(C52,C67)</f>
        <v>450554284.6451478</v>
      </c>
      <c r="D68" s="466"/>
    </row>
    <row r="69" spans="1:4">
      <c r="C69" s="650">
        <f>C68-C35</f>
        <v>-0.26735067367553711</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50" zoomScaleNormal="50" workbookViewId="0">
      <pane xSplit="2" ySplit="7" topLeftCell="C8" activePane="bottomRight" state="frozen"/>
      <selection activeCell="B2" sqref="B2"/>
      <selection pane="topRight" activeCell="B2" sqref="B2"/>
      <selection pane="bottomLeft" activeCell="B2" sqref="B2"/>
      <selection pane="bottomRight" activeCell="C8" sqref="C8:R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12.42578125" style="2" bestFit="1" customWidth="1"/>
    <col min="18" max="18" width="13.28515625" style="2" bestFit="1" customWidth="1"/>
    <col min="19" max="19" width="31.7109375" style="2" bestFit="1" customWidth="1"/>
    <col min="20" max="16384" width="9.28515625" style="12"/>
  </cols>
  <sheetData>
    <row r="1" spans="1:19">
      <c r="A1" s="2" t="s">
        <v>108</v>
      </c>
      <c r="B1" s="227" t="str">
        <f>Info!C2</f>
        <v>JSC "VTB Bank (Georgia)"</v>
      </c>
    </row>
    <row r="2" spans="1:19">
      <c r="A2" s="2" t="s">
        <v>109</v>
      </c>
      <c r="B2" s="337">
        <f>Info!D2</f>
        <v>45657</v>
      </c>
    </row>
    <row r="4" spans="1:19" ht="39" thickBot="1">
      <c r="A4" s="37" t="s">
        <v>259</v>
      </c>
      <c r="B4" s="198"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3" t="s">
        <v>284</v>
      </c>
      <c r="S5" s="79" t="s">
        <v>285</v>
      </c>
    </row>
    <row r="6" spans="1:19" ht="46.5" customHeight="1">
      <c r="A6" s="102"/>
      <c r="B6" s="839" t="s">
        <v>286</v>
      </c>
      <c r="C6" s="837">
        <v>0</v>
      </c>
      <c r="D6" s="838"/>
      <c r="E6" s="837">
        <v>0.2</v>
      </c>
      <c r="F6" s="838"/>
      <c r="G6" s="837">
        <v>0.35</v>
      </c>
      <c r="H6" s="838"/>
      <c r="I6" s="837">
        <v>0.5</v>
      </c>
      <c r="J6" s="838"/>
      <c r="K6" s="837">
        <v>0.75</v>
      </c>
      <c r="L6" s="838"/>
      <c r="M6" s="837">
        <v>1</v>
      </c>
      <c r="N6" s="838"/>
      <c r="O6" s="837">
        <v>1.5</v>
      </c>
      <c r="P6" s="838"/>
      <c r="Q6" s="837">
        <v>2.5</v>
      </c>
      <c r="R6" s="838"/>
      <c r="S6" s="835" t="s">
        <v>156</v>
      </c>
    </row>
    <row r="7" spans="1:19">
      <c r="A7" s="102"/>
      <c r="B7" s="840"/>
      <c r="C7" s="197" t="s">
        <v>279</v>
      </c>
      <c r="D7" s="197" t="s">
        <v>280</v>
      </c>
      <c r="E7" s="197" t="s">
        <v>279</v>
      </c>
      <c r="F7" s="197" t="s">
        <v>280</v>
      </c>
      <c r="G7" s="197" t="s">
        <v>279</v>
      </c>
      <c r="H7" s="197" t="s">
        <v>280</v>
      </c>
      <c r="I7" s="197" t="s">
        <v>279</v>
      </c>
      <c r="J7" s="197" t="s">
        <v>280</v>
      </c>
      <c r="K7" s="197" t="s">
        <v>279</v>
      </c>
      <c r="L7" s="197" t="s">
        <v>280</v>
      </c>
      <c r="M7" s="197" t="s">
        <v>279</v>
      </c>
      <c r="N7" s="197" t="s">
        <v>280</v>
      </c>
      <c r="O7" s="197" t="s">
        <v>279</v>
      </c>
      <c r="P7" s="197" t="s">
        <v>280</v>
      </c>
      <c r="Q7" s="197" t="s">
        <v>279</v>
      </c>
      <c r="R7" s="197" t="s">
        <v>280</v>
      </c>
      <c r="S7" s="836"/>
    </row>
    <row r="8" spans="1:19" s="105" customFormat="1">
      <c r="A8" s="82">
        <v>1</v>
      </c>
      <c r="B8" s="123" t="s">
        <v>134</v>
      </c>
      <c r="C8" s="706">
        <v>351</v>
      </c>
      <c r="D8" s="706"/>
      <c r="E8" s="706">
        <v>0</v>
      </c>
      <c r="F8" s="707"/>
      <c r="G8" s="706">
        <v>0</v>
      </c>
      <c r="H8" s="706"/>
      <c r="I8" s="706">
        <v>0</v>
      </c>
      <c r="J8" s="706"/>
      <c r="K8" s="706">
        <v>0</v>
      </c>
      <c r="L8" s="706"/>
      <c r="M8" s="706">
        <v>0</v>
      </c>
      <c r="N8" s="706"/>
      <c r="O8" s="706">
        <v>0</v>
      </c>
      <c r="P8" s="706"/>
      <c r="Q8" s="706">
        <v>0</v>
      </c>
      <c r="R8" s="707"/>
      <c r="S8" s="635">
        <f>$C$6*SUM(C8:D8)+$E$6*SUM(E8:F8)+$G$6*SUM(G8:H8)+$I$6*SUM(I8:J8)+$K$6*SUM(K8:L8)+$M$6*SUM(M8:N8)+$O$6*SUM(O8:P8)+$Q$6*SUM(Q8:R8)</f>
        <v>0</v>
      </c>
    </row>
    <row r="9" spans="1:19" s="105" customFormat="1">
      <c r="A9" s="82">
        <v>2</v>
      </c>
      <c r="B9" s="123" t="s">
        <v>135</v>
      </c>
      <c r="C9" s="706">
        <v>0</v>
      </c>
      <c r="D9" s="706"/>
      <c r="E9" s="706">
        <v>0</v>
      </c>
      <c r="F9" s="706"/>
      <c r="G9" s="706">
        <v>0</v>
      </c>
      <c r="H9" s="706"/>
      <c r="I9" s="706">
        <v>0</v>
      </c>
      <c r="J9" s="706"/>
      <c r="K9" s="706">
        <v>0</v>
      </c>
      <c r="L9" s="706"/>
      <c r="M9" s="706">
        <v>0</v>
      </c>
      <c r="N9" s="706"/>
      <c r="O9" s="706">
        <v>0</v>
      </c>
      <c r="P9" s="706"/>
      <c r="Q9" s="706">
        <v>0</v>
      </c>
      <c r="R9" s="707"/>
      <c r="S9" s="635">
        <f t="shared" ref="S9:S21" si="0">$C$6*SUM(C9:D9)+$E$6*SUM(E9:F9)+$G$6*SUM(G9:H9)+$I$6*SUM(I9:J9)+$K$6*SUM(K9:L9)+$M$6*SUM(M9:N9)+$O$6*SUM(O9:P9)+$Q$6*SUM(Q9:R9)</f>
        <v>0</v>
      </c>
    </row>
    <row r="10" spans="1:19" s="105" customFormat="1">
      <c r="A10" s="82">
        <v>3</v>
      </c>
      <c r="B10" s="123" t="s">
        <v>136</v>
      </c>
      <c r="C10" s="706">
        <v>0</v>
      </c>
      <c r="D10" s="706"/>
      <c r="E10" s="706">
        <v>0</v>
      </c>
      <c r="F10" s="706"/>
      <c r="G10" s="706">
        <v>0</v>
      </c>
      <c r="H10" s="706"/>
      <c r="I10" s="706">
        <v>0</v>
      </c>
      <c r="J10" s="706"/>
      <c r="K10" s="706">
        <v>0</v>
      </c>
      <c r="L10" s="706"/>
      <c r="M10" s="706">
        <v>0</v>
      </c>
      <c r="N10" s="706"/>
      <c r="O10" s="706">
        <v>0</v>
      </c>
      <c r="P10" s="706"/>
      <c r="Q10" s="706">
        <v>0</v>
      </c>
      <c r="R10" s="707"/>
      <c r="S10" s="635">
        <f t="shared" si="0"/>
        <v>0</v>
      </c>
    </row>
    <row r="11" spans="1:19" s="105" customFormat="1">
      <c r="A11" s="82">
        <v>4</v>
      </c>
      <c r="B11" s="123" t="s">
        <v>137</v>
      </c>
      <c r="C11" s="706">
        <v>0</v>
      </c>
      <c r="D11" s="706"/>
      <c r="E11" s="706">
        <v>0</v>
      </c>
      <c r="F11" s="706"/>
      <c r="G11" s="706">
        <v>0</v>
      </c>
      <c r="H11" s="706"/>
      <c r="I11" s="706">
        <v>0</v>
      </c>
      <c r="J11" s="706"/>
      <c r="K11" s="706">
        <v>0</v>
      </c>
      <c r="L11" s="706"/>
      <c r="M11" s="706">
        <v>0</v>
      </c>
      <c r="N11" s="706"/>
      <c r="O11" s="706">
        <v>0</v>
      </c>
      <c r="P11" s="706"/>
      <c r="Q11" s="706">
        <v>0</v>
      </c>
      <c r="R11" s="707"/>
      <c r="S11" s="635">
        <f t="shared" si="0"/>
        <v>0</v>
      </c>
    </row>
    <row r="12" spans="1:19" s="105" customFormat="1">
      <c r="A12" s="82">
        <v>5</v>
      </c>
      <c r="B12" s="123" t="s">
        <v>948</v>
      </c>
      <c r="C12" s="706">
        <v>0</v>
      </c>
      <c r="D12" s="706"/>
      <c r="E12" s="706">
        <v>0</v>
      </c>
      <c r="F12" s="706"/>
      <c r="G12" s="706">
        <v>0</v>
      </c>
      <c r="H12" s="706"/>
      <c r="I12" s="706">
        <v>0</v>
      </c>
      <c r="J12" s="706"/>
      <c r="K12" s="706">
        <v>0</v>
      </c>
      <c r="L12" s="706"/>
      <c r="M12" s="706">
        <v>0</v>
      </c>
      <c r="N12" s="706"/>
      <c r="O12" s="706">
        <v>0</v>
      </c>
      <c r="P12" s="706"/>
      <c r="Q12" s="706">
        <v>0</v>
      </c>
      <c r="R12" s="707"/>
      <c r="S12" s="635">
        <f t="shared" si="0"/>
        <v>0</v>
      </c>
    </row>
    <row r="13" spans="1:19" s="105" customFormat="1">
      <c r="A13" s="82">
        <v>6</v>
      </c>
      <c r="B13" s="123" t="s">
        <v>138</v>
      </c>
      <c r="C13" s="706">
        <v>0</v>
      </c>
      <c r="D13" s="706"/>
      <c r="E13" s="706">
        <v>5392135.3691000007</v>
      </c>
      <c r="F13" s="706"/>
      <c r="G13" s="706">
        <v>0</v>
      </c>
      <c r="H13" s="706"/>
      <c r="I13" s="706">
        <v>1313974.0283999993</v>
      </c>
      <c r="J13" s="706"/>
      <c r="K13" s="706">
        <v>0</v>
      </c>
      <c r="L13" s="706"/>
      <c r="M13" s="706">
        <v>121859.60249999999</v>
      </c>
      <c r="N13" s="706">
        <v>0</v>
      </c>
      <c r="O13" s="706">
        <v>0</v>
      </c>
      <c r="P13" s="706"/>
      <c r="Q13" s="706">
        <v>0</v>
      </c>
      <c r="R13" s="707"/>
      <c r="S13" s="635">
        <f t="shared" si="0"/>
        <v>1857273.6905199999</v>
      </c>
    </row>
    <row r="14" spans="1:19" s="105" customFormat="1">
      <c r="A14" s="82">
        <v>7</v>
      </c>
      <c r="B14" s="123" t="s">
        <v>71</v>
      </c>
      <c r="C14" s="706">
        <v>0</v>
      </c>
      <c r="D14" s="706">
        <v>0</v>
      </c>
      <c r="E14" s="706">
        <v>0</v>
      </c>
      <c r="F14" s="706">
        <v>0</v>
      </c>
      <c r="G14" s="706">
        <v>0</v>
      </c>
      <c r="H14" s="706"/>
      <c r="I14" s="706">
        <v>0</v>
      </c>
      <c r="J14" s="706">
        <v>0</v>
      </c>
      <c r="K14" s="706">
        <v>0</v>
      </c>
      <c r="L14" s="706"/>
      <c r="M14" s="706">
        <v>93385835.647942349</v>
      </c>
      <c r="N14" s="706">
        <v>113953</v>
      </c>
      <c r="O14" s="706">
        <v>6038821.5875911564</v>
      </c>
      <c r="P14" s="706">
        <v>0</v>
      </c>
      <c r="Q14" s="706">
        <v>0</v>
      </c>
      <c r="R14" s="707">
        <v>0</v>
      </c>
      <c r="S14" s="635">
        <f t="shared" si="0"/>
        <v>102558021.02932909</v>
      </c>
    </row>
    <row r="15" spans="1:19" s="105" customFormat="1">
      <c r="A15" s="82">
        <v>8</v>
      </c>
      <c r="B15" s="123" t="s">
        <v>72</v>
      </c>
      <c r="C15" s="706">
        <v>0</v>
      </c>
      <c r="D15" s="706"/>
      <c r="E15" s="706">
        <v>0</v>
      </c>
      <c r="F15" s="706"/>
      <c r="G15" s="706">
        <v>0</v>
      </c>
      <c r="H15" s="706"/>
      <c r="I15" s="706">
        <v>0</v>
      </c>
      <c r="J15" s="706"/>
      <c r="K15" s="706">
        <v>0</v>
      </c>
      <c r="L15" s="706">
        <v>0</v>
      </c>
      <c r="M15" s="706">
        <v>0</v>
      </c>
      <c r="N15" s="706">
        <v>0</v>
      </c>
      <c r="O15" s="706">
        <v>0</v>
      </c>
      <c r="P15" s="706">
        <v>0</v>
      </c>
      <c r="Q15" s="706">
        <v>0</v>
      </c>
      <c r="R15" s="707"/>
      <c r="S15" s="635">
        <f t="shared" si="0"/>
        <v>0</v>
      </c>
    </row>
    <row r="16" spans="1:19" s="105" customFormat="1">
      <c r="A16" s="82">
        <v>9</v>
      </c>
      <c r="B16" s="123" t="s">
        <v>949</v>
      </c>
      <c r="C16" s="706">
        <v>0</v>
      </c>
      <c r="D16" s="706"/>
      <c r="E16" s="706">
        <v>0</v>
      </c>
      <c r="F16" s="706"/>
      <c r="G16" s="706">
        <v>6414328.7586814649</v>
      </c>
      <c r="H16" s="706">
        <v>0</v>
      </c>
      <c r="I16" s="706">
        <v>0</v>
      </c>
      <c r="J16" s="706"/>
      <c r="K16" s="706">
        <v>0</v>
      </c>
      <c r="L16" s="706"/>
      <c r="M16" s="706">
        <v>0</v>
      </c>
      <c r="N16" s="706"/>
      <c r="O16" s="706">
        <v>0</v>
      </c>
      <c r="P16" s="706"/>
      <c r="Q16" s="706">
        <v>0</v>
      </c>
      <c r="R16" s="707"/>
      <c r="S16" s="635">
        <f t="shared" si="0"/>
        <v>2245015.0655385125</v>
      </c>
    </row>
    <row r="17" spans="1:19" s="105" customFormat="1">
      <c r="A17" s="82">
        <v>10</v>
      </c>
      <c r="B17" s="123" t="s">
        <v>67</v>
      </c>
      <c r="C17" s="706">
        <v>4834.0392511763021</v>
      </c>
      <c r="D17" s="706"/>
      <c r="E17" s="706">
        <v>0</v>
      </c>
      <c r="F17" s="706"/>
      <c r="G17" s="706">
        <v>0</v>
      </c>
      <c r="H17" s="706"/>
      <c r="I17" s="706">
        <v>3228383.5344764404</v>
      </c>
      <c r="J17" s="706"/>
      <c r="K17" s="706">
        <v>0</v>
      </c>
      <c r="L17" s="706"/>
      <c r="M17" s="706">
        <v>26551822.873773169</v>
      </c>
      <c r="N17" s="706"/>
      <c r="O17" s="706">
        <v>36086169.945890762</v>
      </c>
      <c r="P17" s="706"/>
      <c r="Q17" s="706">
        <v>0</v>
      </c>
      <c r="R17" s="707"/>
      <c r="S17" s="635">
        <f t="shared" si="0"/>
        <v>82295269.559847534</v>
      </c>
    </row>
    <row r="18" spans="1:19" s="105" customFormat="1">
      <c r="A18" s="82">
        <v>11</v>
      </c>
      <c r="B18" s="123" t="s">
        <v>68</v>
      </c>
      <c r="C18" s="706">
        <v>0</v>
      </c>
      <c r="D18" s="706"/>
      <c r="E18" s="706">
        <v>0</v>
      </c>
      <c r="F18" s="706"/>
      <c r="G18" s="706">
        <v>0</v>
      </c>
      <c r="H18" s="706"/>
      <c r="I18" s="706">
        <v>0</v>
      </c>
      <c r="J18" s="706"/>
      <c r="K18" s="706">
        <v>0</v>
      </c>
      <c r="L18" s="706"/>
      <c r="M18" s="706">
        <v>0</v>
      </c>
      <c r="N18" s="706"/>
      <c r="O18" s="706">
        <v>0</v>
      </c>
      <c r="P18" s="706"/>
      <c r="Q18" s="706">
        <v>0</v>
      </c>
      <c r="R18" s="707"/>
      <c r="S18" s="635">
        <f t="shared" si="0"/>
        <v>0</v>
      </c>
    </row>
    <row r="19" spans="1:19" s="105" customFormat="1">
      <c r="A19" s="82">
        <v>12</v>
      </c>
      <c r="B19" s="123" t="s">
        <v>69</v>
      </c>
      <c r="C19" s="706">
        <v>0</v>
      </c>
      <c r="D19" s="706"/>
      <c r="E19" s="706">
        <v>0</v>
      </c>
      <c r="F19" s="706"/>
      <c r="G19" s="706">
        <v>0</v>
      </c>
      <c r="H19" s="706"/>
      <c r="I19" s="706">
        <v>0</v>
      </c>
      <c r="J19" s="706"/>
      <c r="K19" s="706">
        <v>0</v>
      </c>
      <c r="L19" s="706"/>
      <c r="M19" s="706">
        <v>0</v>
      </c>
      <c r="N19" s="706"/>
      <c r="O19" s="706">
        <v>0</v>
      </c>
      <c r="P19" s="706"/>
      <c r="Q19" s="706">
        <v>0</v>
      </c>
      <c r="R19" s="707"/>
      <c r="S19" s="635">
        <f t="shared" si="0"/>
        <v>0</v>
      </c>
    </row>
    <row r="20" spans="1:19" s="105" customFormat="1">
      <c r="A20" s="82">
        <v>13</v>
      </c>
      <c r="B20" s="123" t="s">
        <v>70</v>
      </c>
      <c r="C20" s="706">
        <v>0</v>
      </c>
      <c r="D20" s="706"/>
      <c r="E20" s="706">
        <v>0</v>
      </c>
      <c r="F20" s="706"/>
      <c r="G20" s="706">
        <v>0</v>
      </c>
      <c r="H20" s="706"/>
      <c r="I20" s="706">
        <v>0</v>
      </c>
      <c r="J20" s="706"/>
      <c r="K20" s="706">
        <v>0</v>
      </c>
      <c r="L20" s="706"/>
      <c r="M20" s="706">
        <v>0</v>
      </c>
      <c r="N20" s="706"/>
      <c r="O20" s="706">
        <v>0</v>
      </c>
      <c r="P20" s="706"/>
      <c r="Q20" s="706">
        <v>0</v>
      </c>
      <c r="R20" s="707"/>
      <c r="S20" s="635">
        <f t="shared" si="0"/>
        <v>0</v>
      </c>
    </row>
    <row r="21" spans="1:19" s="105" customFormat="1">
      <c r="A21" s="82">
        <v>14</v>
      </c>
      <c r="B21" s="123" t="s">
        <v>154</v>
      </c>
      <c r="C21" s="706">
        <v>170288482.97579998</v>
      </c>
      <c r="D21" s="706"/>
      <c r="E21" s="706">
        <v>0</v>
      </c>
      <c r="F21" s="706"/>
      <c r="G21" s="706">
        <v>0</v>
      </c>
      <c r="H21" s="706"/>
      <c r="I21" s="706">
        <v>0</v>
      </c>
      <c r="J21" s="706"/>
      <c r="K21" s="706">
        <v>0</v>
      </c>
      <c r="L21" s="706"/>
      <c r="M21" s="706">
        <v>100395773.53999999</v>
      </c>
      <c r="N21" s="706"/>
      <c r="O21" s="706">
        <v>0</v>
      </c>
      <c r="P21" s="706"/>
      <c r="Q21" s="706">
        <v>316989</v>
      </c>
      <c r="R21" s="707"/>
      <c r="S21" s="635">
        <f t="shared" si="0"/>
        <v>101188246.03999999</v>
      </c>
    </row>
    <row r="22" spans="1:19" ht="13.5" thickBot="1">
      <c r="A22" s="64"/>
      <c r="B22" s="107" t="s">
        <v>66</v>
      </c>
      <c r="C22" s="634">
        <f>SUM(C8:C21)</f>
        <v>170293668.01505116</v>
      </c>
      <c r="D22" s="634">
        <f t="shared" ref="D22:S22" si="1">SUM(D8:D21)</f>
        <v>0</v>
      </c>
      <c r="E22" s="634">
        <f t="shared" si="1"/>
        <v>5392135.3691000007</v>
      </c>
      <c r="F22" s="634">
        <f t="shared" si="1"/>
        <v>0</v>
      </c>
      <c r="G22" s="634">
        <f t="shared" si="1"/>
        <v>6414328.7586814649</v>
      </c>
      <c r="H22" s="634">
        <f t="shared" si="1"/>
        <v>0</v>
      </c>
      <c r="I22" s="634">
        <f t="shared" si="1"/>
        <v>4542357.5628764397</v>
      </c>
      <c r="J22" s="634">
        <f t="shared" si="1"/>
        <v>0</v>
      </c>
      <c r="K22" s="634">
        <f t="shared" si="1"/>
        <v>0</v>
      </c>
      <c r="L22" s="634">
        <f t="shared" si="1"/>
        <v>0</v>
      </c>
      <c r="M22" s="634">
        <f t="shared" si="1"/>
        <v>220455291.66421551</v>
      </c>
      <c r="N22" s="634">
        <f t="shared" si="1"/>
        <v>113953</v>
      </c>
      <c r="O22" s="634">
        <f t="shared" si="1"/>
        <v>42124991.533481918</v>
      </c>
      <c r="P22" s="634">
        <f t="shared" si="1"/>
        <v>0</v>
      </c>
      <c r="Q22" s="634">
        <f t="shared" si="1"/>
        <v>316989</v>
      </c>
      <c r="R22" s="634">
        <f t="shared" si="1"/>
        <v>0</v>
      </c>
      <c r="S22" s="633">
        <f t="shared" si="1"/>
        <v>290143825.38523513</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60" zoomScaleNormal="60" workbookViewId="0">
      <pane xSplit="2" ySplit="6" topLeftCell="J7" activePane="bottomRight" state="frozen"/>
      <selection activeCell="B2" sqref="B2"/>
      <selection pane="topRight" activeCell="B2" sqref="B2"/>
      <selection pane="bottomLeft" activeCell="B2" sqref="B2"/>
      <selection pane="bottomRight" activeCell="C20" sqref="C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27" t="str">
        <f>Info!C2</f>
        <v>JSC "VTB Bank (Georgia)"</v>
      </c>
    </row>
    <row r="2" spans="1:22">
      <c r="A2" s="2" t="s">
        <v>109</v>
      </c>
      <c r="B2" s="337">
        <f>Info!D2</f>
        <v>45657</v>
      </c>
    </row>
    <row r="4" spans="1:22" ht="27.75" thickBot="1">
      <c r="A4" s="2" t="s">
        <v>260</v>
      </c>
      <c r="B4" s="199" t="s">
        <v>295</v>
      </c>
      <c r="V4" s="149" t="s">
        <v>87</v>
      </c>
    </row>
    <row r="5" spans="1:22">
      <c r="A5" s="62"/>
      <c r="B5" s="63"/>
      <c r="C5" s="841" t="s">
        <v>116</v>
      </c>
      <c r="D5" s="842"/>
      <c r="E5" s="842"/>
      <c r="F5" s="842"/>
      <c r="G5" s="842"/>
      <c r="H5" s="842"/>
      <c r="I5" s="842"/>
      <c r="J5" s="842"/>
      <c r="K5" s="842"/>
      <c r="L5" s="843"/>
      <c r="M5" s="841" t="s">
        <v>117</v>
      </c>
      <c r="N5" s="842"/>
      <c r="O5" s="842"/>
      <c r="P5" s="842"/>
      <c r="Q5" s="842"/>
      <c r="R5" s="842"/>
      <c r="S5" s="843"/>
      <c r="T5" s="846" t="s">
        <v>293</v>
      </c>
      <c r="U5" s="846" t="s">
        <v>292</v>
      </c>
      <c r="V5" s="844" t="s">
        <v>118</v>
      </c>
    </row>
    <row r="6" spans="1:22" s="37" customFormat="1" ht="140.25">
      <c r="A6" s="80"/>
      <c r="B6" s="125"/>
      <c r="C6" s="60" t="s">
        <v>119</v>
      </c>
      <c r="D6" s="59" t="s">
        <v>120</v>
      </c>
      <c r="E6" s="56" t="s">
        <v>121</v>
      </c>
      <c r="F6" s="200"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47"/>
      <c r="U6" s="847"/>
      <c r="V6" s="845"/>
    </row>
    <row r="7" spans="1:22" s="105" customFormat="1">
      <c r="A7" s="106">
        <v>1</v>
      </c>
      <c r="B7" s="123" t="s">
        <v>134</v>
      </c>
      <c r="C7" s="708"/>
      <c r="D7" s="708">
        <v>0</v>
      </c>
      <c r="E7" s="708"/>
      <c r="F7" s="708"/>
      <c r="G7" s="708"/>
      <c r="H7" s="708"/>
      <c r="I7" s="708"/>
      <c r="J7" s="708">
        <v>0</v>
      </c>
      <c r="K7" s="708"/>
      <c r="L7" s="709"/>
      <c r="M7" s="710"/>
      <c r="N7" s="708"/>
      <c r="O7" s="708"/>
      <c r="P7" s="708"/>
      <c r="Q7" s="708"/>
      <c r="R7" s="708"/>
      <c r="S7" s="709"/>
      <c r="T7" s="711">
        <v>0</v>
      </c>
      <c r="U7" s="712"/>
      <c r="V7" s="181">
        <f>SUM(C7:S7)</f>
        <v>0</v>
      </c>
    </row>
    <row r="8" spans="1:22" s="105" customFormat="1">
      <c r="A8" s="106">
        <v>2</v>
      </c>
      <c r="B8" s="123" t="s">
        <v>135</v>
      </c>
      <c r="C8" s="708"/>
      <c r="D8" s="708">
        <v>0</v>
      </c>
      <c r="E8" s="708"/>
      <c r="F8" s="708"/>
      <c r="G8" s="708"/>
      <c r="H8" s="708"/>
      <c r="I8" s="708"/>
      <c r="J8" s="708">
        <v>0</v>
      </c>
      <c r="K8" s="708"/>
      <c r="L8" s="709"/>
      <c r="M8" s="710"/>
      <c r="N8" s="708"/>
      <c r="O8" s="708"/>
      <c r="P8" s="708"/>
      <c r="Q8" s="708"/>
      <c r="R8" s="708"/>
      <c r="S8" s="709"/>
      <c r="T8" s="712">
        <v>0</v>
      </c>
      <c r="U8" s="712"/>
      <c r="V8" s="181">
        <f t="shared" ref="V8:V20" si="0">SUM(C8:S8)</f>
        <v>0</v>
      </c>
    </row>
    <row r="9" spans="1:22" s="105" customFormat="1">
      <c r="A9" s="106">
        <v>3</v>
      </c>
      <c r="B9" s="123" t="s">
        <v>136</v>
      </c>
      <c r="C9" s="708"/>
      <c r="D9" s="708">
        <v>0</v>
      </c>
      <c r="E9" s="708"/>
      <c r="F9" s="708"/>
      <c r="G9" s="708"/>
      <c r="H9" s="708"/>
      <c r="I9" s="708"/>
      <c r="J9" s="708">
        <v>0</v>
      </c>
      <c r="K9" s="708"/>
      <c r="L9" s="709"/>
      <c r="M9" s="710"/>
      <c r="N9" s="708"/>
      <c r="O9" s="708"/>
      <c r="P9" s="708"/>
      <c r="Q9" s="708"/>
      <c r="R9" s="708"/>
      <c r="S9" s="709"/>
      <c r="T9" s="712">
        <v>0</v>
      </c>
      <c r="U9" s="712"/>
      <c r="V9" s="181">
        <f>SUM(C9:S9)</f>
        <v>0</v>
      </c>
    </row>
    <row r="10" spans="1:22" s="105" customFormat="1">
      <c r="A10" s="106">
        <v>4</v>
      </c>
      <c r="B10" s="123" t="s">
        <v>137</v>
      </c>
      <c r="C10" s="708"/>
      <c r="D10" s="708">
        <v>0</v>
      </c>
      <c r="E10" s="708"/>
      <c r="F10" s="708"/>
      <c r="G10" s="708"/>
      <c r="H10" s="708"/>
      <c r="I10" s="708"/>
      <c r="J10" s="708">
        <v>0</v>
      </c>
      <c r="K10" s="708"/>
      <c r="L10" s="709"/>
      <c r="M10" s="710"/>
      <c r="N10" s="708"/>
      <c r="O10" s="708"/>
      <c r="P10" s="708"/>
      <c r="Q10" s="708"/>
      <c r="R10" s="708"/>
      <c r="S10" s="709"/>
      <c r="T10" s="712">
        <v>0</v>
      </c>
      <c r="U10" s="712"/>
      <c r="V10" s="181">
        <f t="shared" si="0"/>
        <v>0</v>
      </c>
    </row>
    <row r="11" spans="1:22" s="105" customFormat="1">
      <c r="A11" s="106">
        <v>5</v>
      </c>
      <c r="B11" s="123" t="s">
        <v>948</v>
      </c>
      <c r="C11" s="708"/>
      <c r="D11" s="708">
        <v>0</v>
      </c>
      <c r="E11" s="708"/>
      <c r="F11" s="708"/>
      <c r="G11" s="708"/>
      <c r="H11" s="708"/>
      <c r="I11" s="708"/>
      <c r="J11" s="708">
        <v>0</v>
      </c>
      <c r="K11" s="708"/>
      <c r="L11" s="709"/>
      <c r="M11" s="710"/>
      <c r="N11" s="708"/>
      <c r="O11" s="708"/>
      <c r="P11" s="708"/>
      <c r="Q11" s="708"/>
      <c r="R11" s="708"/>
      <c r="S11" s="709"/>
      <c r="T11" s="712">
        <v>0</v>
      </c>
      <c r="U11" s="712"/>
      <c r="V11" s="181">
        <f t="shared" si="0"/>
        <v>0</v>
      </c>
    </row>
    <row r="12" spans="1:22" s="105" customFormat="1">
      <c r="A12" s="106">
        <v>6</v>
      </c>
      <c r="B12" s="123" t="s">
        <v>138</v>
      </c>
      <c r="C12" s="708"/>
      <c r="D12" s="708">
        <v>0</v>
      </c>
      <c r="E12" s="708"/>
      <c r="F12" s="708"/>
      <c r="G12" s="708"/>
      <c r="H12" s="708"/>
      <c r="I12" s="708"/>
      <c r="J12" s="708">
        <v>0</v>
      </c>
      <c r="K12" s="708"/>
      <c r="L12" s="709"/>
      <c r="M12" s="710"/>
      <c r="N12" s="708"/>
      <c r="O12" s="708"/>
      <c r="P12" s="708"/>
      <c r="Q12" s="708"/>
      <c r="R12" s="708"/>
      <c r="S12" s="709"/>
      <c r="T12" s="712">
        <v>0</v>
      </c>
      <c r="U12" s="712"/>
      <c r="V12" s="181">
        <f t="shared" si="0"/>
        <v>0</v>
      </c>
    </row>
    <row r="13" spans="1:22" s="105" customFormat="1">
      <c r="A13" s="106">
        <v>7</v>
      </c>
      <c r="B13" s="123" t="s">
        <v>71</v>
      </c>
      <c r="C13" s="708"/>
      <c r="D13" s="708">
        <v>21310</v>
      </c>
      <c r="E13" s="708"/>
      <c r="F13" s="708"/>
      <c r="G13" s="708"/>
      <c r="H13" s="708"/>
      <c r="I13" s="708"/>
      <c r="J13" s="708">
        <v>0</v>
      </c>
      <c r="K13" s="708"/>
      <c r="L13" s="709"/>
      <c r="M13" s="710"/>
      <c r="N13" s="708"/>
      <c r="O13" s="708"/>
      <c r="P13" s="708"/>
      <c r="Q13" s="708"/>
      <c r="R13" s="708"/>
      <c r="S13" s="709"/>
      <c r="T13" s="712">
        <v>0</v>
      </c>
      <c r="U13" s="712">
        <v>21310</v>
      </c>
      <c r="V13" s="181">
        <f t="shared" si="0"/>
        <v>21310</v>
      </c>
    </row>
    <row r="14" spans="1:22" s="105" customFormat="1">
      <c r="A14" s="106">
        <v>8</v>
      </c>
      <c r="B14" s="123" t="s">
        <v>72</v>
      </c>
      <c r="C14" s="708"/>
      <c r="D14" s="708">
        <v>0</v>
      </c>
      <c r="E14" s="708"/>
      <c r="F14" s="708"/>
      <c r="G14" s="708"/>
      <c r="H14" s="708"/>
      <c r="I14" s="708"/>
      <c r="J14" s="708">
        <v>0</v>
      </c>
      <c r="K14" s="708"/>
      <c r="L14" s="709"/>
      <c r="M14" s="710"/>
      <c r="N14" s="708"/>
      <c r="O14" s="708"/>
      <c r="P14" s="708"/>
      <c r="Q14" s="708"/>
      <c r="R14" s="708"/>
      <c r="S14" s="709"/>
      <c r="T14" s="712">
        <v>0</v>
      </c>
      <c r="U14" s="712">
        <v>0</v>
      </c>
      <c r="V14" s="181">
        <f t="shared" si="0"/>
        <v>0</v>
      </c>
    </row>
    <row r="15" spans="1:22" s="105" customFormat="1">
      <c r="A15" s="106">
        <v>9</v>
      </c>
      <c r="B15" s="123" t="s">
        <v>949</v>
      </c>
      <c r="C15" s="708"/>
      <c r="D15" s="708">
        <v>0</v>
      </c>
      <c r="E15" s="708"/>
      <c r="F15" s="708"/>
      <c r="G15" s="708"/>
      <c r="H15" s="708"/>
      <c r="I15" s="708"/>
      <c r="J15" s="708">
        <v>0</v>
      </c>
      <c r="K15" s="708"/>
      <c r="L15" s="709"/>
      <c r="M15" s="710"/>
      <c r="N15" s="708"/>
      <c r="O15" s="708"/>
      <c r="P15" s="708"/>
      <c r="Q15" s="708"/>
      <c r="R15" s="708"/>
      <c r="S15" s="709"/>
      <c r="T15" s="712">
        <v>0</v>
      </c>
      <c r="U15" s="712"/>
      <c r="V15" s="181">
        <f t="shared" si="0"/>
        <v>0</v>
      </c>
    </row>
    <row r="16" spans="1:22" s="105" customFormat="1">
      <c r="A16" s="106">
        <v>10</v>
      </c>
      <c r="B16" s="123" t="s">
        <v>67</v>
      </c>
      <c r="C16" s="708"/>
      <c r="D16" s="708">
        <v>515429.89744872006</v>
      </c>
      <c r="E16" s="708"/>
      <c r="F16" s="708"/>
      <c r="G16" s="708"/>
      <c r="H16" s="708"/>
      <c r="I16" s="708"/>
      <c r="J16" s="708">
        <v>0</v>
      </c>
      <c r="K16" s="708"/>
      <c r="L16" s="709"/>
      <c r="M16" s="710"/>
      <c r="N16" s="708"/>
      <c r="O16" s="708"/>
      <c r="P16" s="708"/>
      <c r="Q16" s="708"/>
      <c r="R16" s="708"/>
      <c r="S16" s="709"/>
      <c r="T16" s="712">
        <v>515429.89744872006</v>
      </c>
      <c r="U16" s="712"/>
      <c r="V16" s="181">
        <f t="shared" si="0"/>
        <v>515429.89744872006</v>
      </c>
    </row>
    <row r="17" spans="1:22" s="105" customFormat="1">
      <c r="A17" s="106">
        <v>11</v>
      </c>
      <c r="B17" s="123" t="s">
        <v>68</v>
      </c>
      <c r="C17" s="708"/>
      <c r="D17" s="708">
        <v>0</v>
      </c>
      <c r="E17" s="708"/>
      <c r="F17" s="708"/>
      <c r="G17" s="708"/>
      <c r="H17" s="708"/>
      <c r="I17" s="708"/>
      <c r="J17" s="708">
        <v>0</v>
      </c>
      <c r="K17" s="708"/>
      <c r="L17" s="709"/>
      <c r="M17" s="710"/>
      <c r="N17" s="708"/>
      <c r="O17" s="708"/>
      <c r="P17" s="708"/>
      <c r="Q17" s="708"/>
      <c r="R17" s="708"/>
      <c r="S17" s="709"/>
      <c r="T17" s="712">
        <v>0</v>
      </c>
      <c r="U17" s="712"/>
      <c r="V17" s="181">
        <f t="shared" si="0"/>
        <v>0</v>
      </c>
    </row>
    <row r="18" spans="1:22" s="105" customFormat="1">
      <c r="A18" s="106">
        <v>12</v>
      </c>
      <c r="B18" s="123" t="s">
        <v>69</v>
      </c>
      <c r="C18" s="708"/>
      <c r="D18" s="708">
        <v>0</v>
      </c>
      <c r="E18" s="708"/>
      <c r="F18" s="708"/>
      <c r="G18" s="708"/>
      <c r="H18" s="708"/>
      <c r="I18" s="708"/>
      <c r="J18" s="708">
        <v>0</v>
      </c>
      <c r="K18" s="708"/>
      <c r="L18" s="709"/>
      <c r="M18" s="710"/>
      <c r="N18" s="708"/>
      <c r="O18" s="708"/>
      <c r="P18" s="708"/>
      <c r="Q18" s="708"/>
      <c r="R18" s="708"/>
      <c r="S18" s="709"/>
      <c r="T18" s="712">
        <v>0</v>
      </c>
      <c r="U18" s="712"/>
      <c r="V18" s="181">
        <f t="shared" si="0"/>
        <v>0</v>
      </c>
    </row>
    <row r="19" spans="1:22" s="105" customFormat="1">
      <c r="A19" s="106">
        <v>13</v>
      </c>
      <c r="B19" s="123" t="s">
        <v>70</v>
      </c>
      <c r="C19" s="708"/>
      <c r="D19" s="708">
        <v>0</v>
      </c>
      <c r="E19" s="708"/>
      <c r="F19" s="708"/>
      <c r="G19" s="708"/>
      <c r="H19" s="708"/>
      <c r="I19" s="708"/>
      <c r="J19" s="708">
        <v>0</v>
      </c>
      <c r="K19" s="708"/>
      <c r="L19" s="709"/>
      <c r="M19" s="710"/>
      <c r="N19" s="708"/>
      <c r="O19" s="708"/>
      <c r="P19" s="708"/>
      <c r="Q19" s="708"/>
      <c r="R19" s="708"/>
      <c r="S19" s="709"/>
      <c r="T19" s="712">
        <v>0</v>
      </c>
      <c r="U19" s="712"/>
      <c r="V19" s="181">
        <f t="shared" si="0"/>
        <v>0</v>
      </c>
    </row>
    <row r="20" spans="1:22" s="105" customFormat="1">
      <c r="A20" s="106">
        <v>14</v>
      </c>
      <c r="B20" s="123" t="s">
        <v>154</v>
      </c>
      <c r="C20" s="708"/>
      <c r="D20" s="708">
        <v>0</v>
      </c>
      <c r="E20" s="708"/>
      <c r="F20" s="708"/>
      <c r="G20" s="708"/>
      <c r="H20" s="708"/>
      <c r="I20" s="708"/>
      <c r="J20" s="708">
        <v>0</v>
      </c>
      <c r="K20" s="708"/>
      <c r="L20" s="709"/>
      <c r="M20" s="710"/>
      <c r="N20" s="708"/>
      <c r="O20" s="708"/>
      <c r="P20" s="708"/>
      <c r="Q20" s="708"/>
      <c r="R20" s="708"/>
      <c r="S20" s="709"/>
      <c r="T20" s="712">
        <v>0</v>
      </c>
      <c r="U20" s="712"/>
      <c r="V20" s="181">
        <f t="shared" si="0"/>
        <v>0</v>
      </c>
    </row>
    <row r="21" spans="1:22" ht="13.5" thickBot="1">
      <c r="A21" s="64"/>
      <c r="B21" s="65" t="s">
        <v>66</v>
      </c>
      <c r="C21" s="182">
        <f>SUM(C7:C20)</f>
        <v>0</v>
      </c>
      <c r="D21" s="180">
        <f t="shared" ref="D21:U21" si="1">SUM(D7:D20)</f>
        <v>536739.89744872006</v>
      </c>
      <c r="E21" s="180">
        <f t="shared" si="1"/>
        <v>0</v>
      </c>
      <c r="F21" s="180">
        <f t="shared" si="1"/>
        <v>0</v>
      </c>
      <c r="G21" s="180">
        <f t="shared" si="1"/>
        <v>0</v>
      </c>
      <c r="H21" s="180">
        <f t="shared" si="1"/>
        <v>0</v>
      </c>
      <c r="I21" s="180">
        <f t="shared" si="1"/>
        <v>0</v>
      </c>
      <c r="J21" s="180">
        <f t="shared" si="1"/>
        <v>0</v>
      </c>
      <c r="K21" s="180">
        <f t="shared" si="1"/>
        <v>0</v>
      </c>
      <c r="L21" s="183">
        <f t="shared" si="1"/>
        <v>0</v>
      </c>
      <c r="M21" s="182">
        <f t="shared" si="1"/>
        <v>0</v>
      </c>
      <c r="N21" s="180">
        <f t="shared" si="1"/>
        <v>0</v>
      </c>
      <c r="O21" s="180">
        <f t="shared" si="1"/>
        <v>0</v>
      </c>
      <c r="P21" s="180">
        <f t="shared" si="1"/>
        <v>0</v>
      </c>
      <c r="Q21" s="180">
        <f t="shared" si="1"/>
        <v>0</v>
      </c>
      <c r="R21" s="180">
        <f t="shared" si="1"/>
        <v>0</v>
      </c>
      <c r="S21" s="183">
        <f t="shared" si="1"/>
        <v>0</v>
      </c>
      <c r="T21" s="183">
        <f>SUM(T7:T20)</f>
        <v>515429.89744872006</v>
      </c>
      <c r="U21" s="183">
        <f t="shared" si="1"/>
        <v>21310</v>
      </c>
      <c r="V21" s="184">
        <f>SUM(V7:V20)</f>
        <v>536739.89744872006</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13" sqref="C13"/>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27" t="str">
        <f>Info!C2</f>
        <v>JSC "VTB Bank (Georgia)"</v>
      </c>
    </row>
    <row r="2" spans="1:9">
      <c r="A2" s="2" t="s">
        <v>109</v>
      </c>
      <c r="B2" s="337">
        <f>Info!D2</f>
        <v>45657</v>
      </c>
    </row>
    <row r="4" spans="1:9" ht="13.5" thickBot="1">
      <c r="A4" s="2" t="s">
        <v>261</v>
      </c>
      <c r="B4" s="196" t="s">
        <v>296</v>
      </c>
    </row>
    <row r="5" spans="1:9">
      <c r="A5" s="62"/>
      <c r="B5" s="103"/>
      <c r="C5" s="108" t="s">
        <v>0</v>
      </c>
      <c r="D5" s="108" t="s">
        <v>1</v>
      </c>
      <c r="E5" s="108" t="s">
        <v>2</v>
      </c>
      <c r="F5" s="108" t="s">
        <v>3</v>
      </c>
      <c r="G5" s="194" t="s">
        <v>4</v>
      </c>
      <c r="H5" s="109" t="s">
        <v>5</v>
      </c>
      <c r="I5" s="24"/>
    </row>
    <row r="6" spans="1:9" ht="15" customHeight="1">
      <c r="A6" s="102"/>
      <c r="B6" s="22"/>
      <c r="C6" s="848" t="s">
        <v>288</v>
      </c>
      <c r="D6" s="852" t="s">
        <v>309</v>
      </c>
      <c r="E6" s="853"/>
      <c r="F6" s="848" t="s">
        <v>315</v>
      </c>
      <c r="G6" s="848" t="s">
        <v>316</v>
      </c>
      <c r="H6" s="850" t="s">
        <v>290</v>
      </c>
      <c r="I6" s="24"/>
    </row>
    <row r="7" spans="1:9" ht="76.5">
      <c r="A7" s="102"/>
      <c r="B7" s="22"/>
      <c r="C7" s="849"/>
      <c r="D7" s="195" t="s">
        <v>291</v>
      </c>
      <c r="E7" s="195" t="s">
        <v>289</v>
      </c>
      <c r="F7" s="849"/>
      <c r="G7" s="849"/>
      <c r="H7" s="851"/>
      <c r="I7" s="24"/>
    </row>
    <row r="8" spans="1:9">
      <c r="A8" s="53">
        <v>1</v>
      </c>
      <c r="B8" s="123" t="s">
        <v>134</v>
      </c>
      <c r="C8" s="713">
        <v>351</v>
      </c>
      <c r="D8" s="714">
        <v>0</v>
      </c>
      <c r="E8" s="713">
        <v>0</v>
      </c>
      <c r="F8" s="713">
        <v>0</v>
      </c>
      <c r="G8" s="715">
        <v>0</v>
      </c>
      <c r="H8" s="201">
        <f>IFERROR(G8/(C8+E8),)</f>
        <v>0</v>
      </c>
    </row>
    <row r="9" spans="1:9" ht="15" customHeight="1">
      <c r="A9" s="53">
        <v>2</v>
      </c>
      <c r="B9" s="123" t="s">
        <v>135</v>
      </c>
      <c r="C9" s="713">
        <v>0</v>
      </c>
      <c r="D9" s="714">
        <v>0</v>
      </c>
      <c r="E9" s="713">
        <v>0</v>
      </c>
      <c r="F9" s="713">
        <v>0</v>
      </c>
      <c r="G9" s="715">
        <v>0</v>
      </c>
      <c r="H9" s="201">
        <f t="shared" ref="H9:H21" si="0">IFERROR(G9/(C9+E9),)</f>
        <v>0</v>
      </c>
    </row>
    <row r="10" spans="1:9">
      <c r="A10" s="53">
        <v>3</v>
      </c>
      <c r="B10" s="123" t="s">
        <v>136</v>
      </c>
      <c r="C10" s="713">
        <v>0</v>
      </c>
      <c r="D10" s="714">
        <v>0</v>
      </c>
      <c r="E10" s="713">
        <v>0</v>
      </c>
      <c r="F10" s="713">
        <v>0</v>
      </c>
      <c r="G10" s="715">
        <v>0</v>
      </c>
      <c r="H10" s="201">
        <f t="shared" si="0"/>
        <v>0</v>
      </c>
    </row>
    <row r="11" spans="1:9">
      <c r="A11" s="53">
        <v>4</v>
      </c>
      <c r="B11" s="123" t="s">
        <v>137</v>
      </c>
      <c r="C11" s="713">
        <v>0</v>
      </c>
      <c r="D11" s="714">
        <v>0</v>
      </c>
      <c r="E11" s="713">
        <v>0</v>
      </c>
      <c r="F11" s="713">
        <v>0</v>
      </c>
      <c r="G11" s="715">
        <v>0</v>
      </c>
      <c r="H11" s="201">
        <f t="shared" si="0"/>
        <v>0</v>
      </c>
    </row>
    <row r="12" spans="1:9">
      <c r="A12" s="53">
        <v>5</v>
      </c>
      <c r="B12" s="123" t="s">
        <v>948</v>
      </c>
      <c r="C12" s="713">
        <v>0</v>
      </c>
      <c r="D12" s="714">
        <v>0</v>
      </c>
      <c r="E12" s="713">
        <v>0</v>
      </c>
      <c r="F12" s="713">
        <v>0</v>
      </c>
      <c r="G12" s="715">
        <v>0</v>
      </c>
      <c r="H12" s="201">
        <f t="shared" si="0"/>
        <v>0</v>
      </c>
    </row>
    <row r="13" spans="1:9">
      <c r="A13" s="53">
        <v>6</v>
      </c>
      <c r="B13" s="123" t="s">
        <v>138</v>
      </c>
      <c r="C13" s="713">
        <v>6827826</v>
      </c>
      <c r="D13" s="714">
        <v>0</v>
      </c>
      <c r="E13" s="713">
        <v>0</v>
      </c>
      <c r="F13" s="713">
        <v>1857273.6905199999</v>
      </c>
      <c r="G13" s="715">
        <v>1857273.6905199999</v>
      </c>
      <c r="H13" s="201">
        <f t="shared" si="0"/>
        <v>0.27201538096020605</v>
      </c>
    </row>
    <row r="14" spans="1:9">
      <c r="A14" s="53">
        <v>7</v>
      </c>
      <c r="B14" s="123" t="s">
        <v>71</v>
      </c>
      <c r="C14" s="713">
        <v>99424657.235533506</v>
      </c>
      <c r="D14" s="714">
        <v>208361.08579073806</v>
      </c>
      <c r="E14" s="713">
        <v>113953.17613730636</v>
      </c>
      <c r="F14" s="714">
        <v>102558021.2054664</v>
      </c>
      <c r="G14" s="716">
        <v>102536711.1889544</v>
      </c>
      <c r="H14" s="201">
        <f t="shared" si="0"/>
        <v>1.0301199782163331</v>
      </c>
    </row>
    <row r="15" spans="1:9">
      <c r="A15" s="53">
        <v>8</v>
      </c>
      <c r="B15" s="123" t="s">
        <v>72</v>
      </c>
      <c r="C15" s="713">
        <v>0</v>
      </c>
      <c r="D15" s="714">
        <v>0</v>
      </c>
      <c r="E15" s="713">
        <v>0</v>
      </c>
      <c r="F15" s="714">
        <v>0</v>
      </c>
      <c r="G15" s="716">
        <v>0</v>
      </c>
      <c r="H15" s="201">
        <f t="shared" si="0"/>
        <v>0</v>
      </c>
    </row>
    <row r="16" spans="1:9">
      <c r="A16" s="53">
        <v>9</v>
      </c>
      <c r="B16" s="123" t="s">
        <v>949</v>
      </c>
      <c r="C16" s="713">
        <v>6414328.7586814649</v>
      </c>
      <c r="D16" s="714">
        <v>0</v>
      </c>
      <c r="E16" s="713">
        <v>0</v>
      </c>
      <c r="F16" s="714">
        <v>2245015.0655385125</v>
      </c>
      <c r="G16" s="716">
        <v>2245015.0655385125</v>
      </c>
      <c r="H16" s="201">
        <f t="shared" si="0"/>
        <v>0.35</v>
      </c>
    </row>
    <row r="17" spans="1:8">
      <c r="A17" s="53">
        <v>10</v>
      </c>
      <c r="B17" s="123" t="s">
        <v>67</v>
      </c>
      <c r="C17" s="713">
        <v>65871210.39339155</v>
      </c>
      <c r="D17" s="714">
        <v>0</v>
      </c>
      <c r="E17" s="713">
        <v>0</v>
      </c>
      <c r="F17" s="714">
        <v>82295269.559847534</v>
      </c>
      <c r="G17" s="716">
        <v>81779839.662398815</v>
      </c>
      <c r="H17" s="201">
        <f t="shared" si="0"/>
        <v>1.241511111971358</v>
      </c>
    </row>
    <row r="18" spans="1:8">
      <c r="A18" s="53">
        <v>11</v>
      </c>
      <c r="B18" s="123" t="s">
        <v>68</v>
      </c>
      <c r="C18" s="713">
        <v>0</v>
      </c>
      <c r="D18" s="714">
        <v>0</v>
      </c>
      <c r="E18" s="713">
        <v>0</v>
      </c>
      <c r="F18" s="714">
        <v>0</v>
      </c>
      <c r="G18" s="716">
        <v>0</v>
      </c>
      <c r="H18" s="201">
        <f t="shared" si="0"/>
        <v>0</v>
      </c>
    </row>
    <row r="19" spans="1:8">
      <c r="A19" s="53">
        <v>12</v>
      </c>
      <c r="B19" s="123" t="s">
        <v>69</v>
      </c>
      <c r="C19" s="713">
        <v>0</v>
      </c>
      <c r="D19" s="714">
        <v>0</v>
      </c>
      <c r="E19" s="713">
        <v>0</v>
      </c>
      <c r="F19" s="714">
        <v>0</v>
      </c>
      <c r="G19" s="716">
        <v>0</v>
      </c>
      <c r="H19" s="201">
        <f t="shared" si="0"/>
        <v>0</v>
      </c>
    </row>
    <row r="20" spans="1:8">
      <c r="A20" s="53">
        <v>13</v>
      </c>
      <c r="B20" s="123" t="s">
        <v>70</v>
      </c>
      <c r="C20" s="713">
        <v>0</v>
      </c>
      <c r="D20" s="714">
        <v>0</v>
      </c>
      <c r="E20" s="713">
        <v>0</v>
      </c>
      <c r="F20" s="714">
        <v>0</v>
      </c>
      <c r="G20" s="716">
        <v>0</v>
      </c>
      <c r="H20" s="201">
        <f t="shared" si="0"/>
        <v>0</v>
      </c>
    </row>
    <row r="21" spans="1:8">
      <c r="A21" s="53">
        <v>14</v>
      </c>
      <c r="B21" s="123" t="s">
        <v>154</v>
      </c>
      <c r="C21" s="713">
        <v>271001245.5158</v>
      </c>
      <c r="D21" s="714">
        <v>0</v>
      </c>
      <c r="E21" s="713">
        <v>0</v>
      </c>
      <c r="F21" s="716">
        <v>101188246.03999999</v>
      </c>
      <c r="G21" s="716">
        <v>101188246.03999999</v>
      </c>
      <c r="H21" s="201">
        <f t="shared" si="0"/>
        <v>0.37338664568646968</v>
      </c>
    </row>
    <row r="22" spans="1:8" ht="13.5" thickBot="1">
      <c r="A22" s="104"/>
      <c r="B22" s="110" t="s">
        <v>66</v>
      </c>
      <c r="C22" s="180">
        <f>SUM(C8:C21)</f>
        <v>449539618.9034065</v>
      </c>
      <c r="D22" s="180">
        <f>SUM(D8:D21)</f>
        <v>208361.08579073806</v>
      </c>
      <c r="E22" s="180">
        <f>SUM(E8:E21)</f>
        <v>113953.17613730636</v>
      </c>
      <c r="F22" s="180">
        <f>SUM(F8:F21)</f>
        <v>290143825.5613724</v>
      </c>
      <c r="G22" s="180">
        <f>SUM(G8:G21)</f>
        <v>289607085.6474117</v>
      </c>
      <c r="H22" s="202">
        <f>G22/(C22+E22)</f>
        <v>0.64406712996417637</v>
      </c>
    </row>
    <row r="23" spans="1:8">
      <c r="G23" s="695">
        <f>G22-'5. RWA'!C6</f>
        <v>0</v>
      </c>
      <c r="H23" s="695"/>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C8" sqref="C8:K21"/>
    </sheetView>
  </sheetViews>
  <sheetFormatPr defaultColWidth="9.28515625" defaultRowHeight="12.75"/>
  <cols>
    <col min="1" max="1" width="10.5703125" style="227" bestFit="1" customWidth="1"/>
    <col min="2" max="2" width="104.28515625" style="227" customWidth="1"/>
    <col min="3" max="11" width="12.7109375" style="227" customWidth="1"/>
    <col min="12" max="16384" width="9.28515625" style="227"/>
  </cols>
  <sheetData>
    <row r="1" spans="1:11">
      <c r="A1" s="227" t="s">
        <v>108</v>
      </c>
      <c r="B1" s="227" t="str">
        <f>Info!C2</f>
        <v>JSC "VTB Bank (Georgia)"</v>
      </c>
    </row>
    <row r="2" spans="1:11">
      <c r="A2" s="227" t="s">
        <v>109</v>
      </c>
      <c r="B2" s="743">
        <f>Info!D2</f>
        <v>45657</v>
      </c>
      <c r="C2" s="228"/>
      <c r="D2" s="228"/>
    </row>
    <row r="3" spans="1:11">
      <c r="B3" s="228"/>
      <c r="C3" s="228"/>
      <c r="D3" s="228"/>
    </row>
    <row r="4" spans="1:11" ht="13.5" thickBot="1">
      <c r="A4" s="227" t="s">
        <v>352</v>
      </c>
      <c r="B4" s="196" t="s">
        <v>351</v>
      </c>
      <c r="C4" s="228"/>
      <c r="D4" s="228"/>
    </row>
    <row r="5" spans="1:11" ht="30" customHeight="1">
      <c r="A5" s="857"/>
      <c r="B5" s="858"/>
      <c r="C5" s="855" t="s">
        <v>384</v>
      </c>
      <c r="D5" s="855"/>
      <c r="E5" s="855"/>
      <c r="F5" s="855" t="s">
        <v>385</v>
      </c>
      <c r="G5" s="855"/>
      <c r="H5" s="855"/>
      <c r="I5" s="855" t="s">
        <v>386</v>
      </c>
      <c r="J5" s="855"/>
      <c r="K5" s="856"/>
    </row>
    <row r="6" spans="1:11">
      <c r="A6" s="225"/>
      <c r="B6" s="226"/>
      <c r="C6" s="229" t="s">
        <v>26</v>
      </c>
      <c r="D6" s="229" t="s">
        <v>90</v>
      </c>
      <c r="E6" s="229" t="s">
        <v>66</v>
      </c>
      <c r="F6" s="229" t="s">
        <v>26</v>
      </c>
      <c r="G6" s="229" t="s">
        <v>90</v>
      </c>
      <c r="H6" s="229" t="s">
        <v>66</v>
      </c>
      <c r="I6" s="229" t="s">
        <v>26</v>
      </c>
      <c r="J6" s="229" t="s">
        <v>90</v>
      </c>
      <c r="K6" s="231" t="s">
        <v>66</v>
      </c>
    </row>
    <row r="7" spans="1:11">
      <c r="A7" s="232" t="s">
        <v>322</v>
      </c>
      <c r="B7" s="224"/>
      <c r="C7" s="224"/>
      <c r="D7" s="224"/>
      <c r="E7" s="224"/>
      <c r="F7" s="224"/>
      <c r="G7" s="224"/>
      <c r="H7" s="224"/>
      <c r="I7" s="224"/>
      <c r="J7" s="224"/>
      <c r="K7" s="233"/>
    </row>
    <row r="8" spans="1:11">
      <c r="A8" s="223">
        <v>1</v>
      </c>
      <c r="B8" s="208" t="s">
        <v>322</v>
      </c>
      <c r="C8" s="727"/>
      <c r="D8" s="727"/>
      <c r="E8" s="727"/>
      <c r="F8" s="728">
        <v>90563591.753369614</v>
      </c>
      <c r="G8" s="728">
        <v>69635023.60466738</v>
      </c>
      <c r="H8" s="728">
        <v>160198615.35803691</v>
      </c>
      <c r="I8" s="728">
        <v>90563591.753369614</v>
      </c>
      <c r="J8" s="728">
        <v>69635023.60466738</v>
      </c>
      <c r="K8" s="729">
        <v>160198615.35803691</v>
      </c>
    </row>
    <row r="9" spans="1:11">
      <c r="A9" s="232" t="s">
        <v>323</v>
      </c>
      <c r="B9" s="224"/>
      <c r="C9" s="730"/>
      <c r="D9" s="730"/>
      <c r="E9" s="730"/>
      <c r="F9" s="730"/>
      <c r="G9" s="730"/>
      <c r="H9" s="730"/>
      <c r="I9" s="730"/>
      <c r="J9" s="730"/>
      <c r="K9" s="731"/>
    </row>
    <row r="10" spans="1:11">
      <c r="A10" s="234">
        <v>2</v>
      </c>
      <c r="B10" s="209" t="s">
        <v>324</v>
      </c>
      <c r="C10" s="363">
        <v>3435371.3990217401</v>
      </c>
      <c r="D10" s="732">
        <v>465101.77706521732</v>
      </c>
      <c r="E10" s="732">
        <v>3900473.1760869562</v>
      </c>
      <c r="F10" s="732">
        <v>635352.94402173918</v>
      </c>
      <c r="G10" s="732">
        <v>114542.4460576087</v>
      </c>
      <c r="H10" s="732">
        <v>749895.39007934812</v>
      </c>
      <c r="I10" s="732">
        <v>158051.45045108697</v>
      </c>
      <c r="J10" s="732">
        <v>13293.901005434778</v>
      </c>
      <c r="K10" s="733">
        <v>171345.35145652175</v>
      </c>
    </row>
    <row r="11" spans="1:11">
      <c r="A11" s="234">
        <v>3</v>
      </c>
      <c r="B11" s="209" t="s">
        <v>325</v>
      </c>
      <c r="C11" s="363">
        <v>9595570.7433695663</v>
      </c>
      <c r="D11" s="732">
        <v>75859691.796521753</v>
      </c>
      <c r="E11" s="732">
        <v>85455262.539891288</v>
      </c>
      <c r="F11" s="732">
        <v>6801641.1526521742</v>
      </c>
      <c r="G11" s="732">
        <v>429645.83669565211</v>
      </c>
      <c r="H11" s="732">
        <v>7231286.989347822</v>
      </c>
      <c r="I11" s="732">
        <v>3682568.8468097816</v>
      </c>
      <c r="J11" s="732">
        <v>391918.40127173899</v>
      </c>
      <c r="K11" s="733">
        <v>4074487.248081523</v>
      </c>
    </row>
    <row r="12" spans="1:11">
      <c r="A12" s="234">
        <v>4</v>
      </c>
      <c r="B12" s="209" t="s">
        <v>326</v>
      </c>
      <c r="C12" s="363">
        <v>0</v>
      </c>
      <c r="D12" s="732">
        <v>0</v>
      </c>
      <c r="E12" s="732">
        <v>0</v>
      </c>
      <c r="F12" s="732">
        <v>0</v>
      </c>
      <c r="G12" s="732">
        <v>0</v>
      </c>
      <c r="H12" s="732">
        <v>0</v>
      </c>
      <c r="I12" s="732">
        <v>0</v>
      </c>
      <c r="J12" s="732">
        <v>0</v>
      </c>
      <c r="K12" s="733">
        <v>0</v>
      </c>
    </row>
    <row r="13" spans="1:11">
      <c r="A13" s="234">
        <v>5</v>
      </c>
      <c r="B13" s="209" t="s">
        <v>327</v>
      </c>
      <c r="C13" s="363">
        <v>207378.81478260862</v>
      </c>
      <c r="D13" s="732">
        <v>15966.268476956511</v>
      </c>
      <c r="E13" s="732">
        <v>223345.08325956526</v>
      </c>
      <c r="F13" s="732">
        <v>22582.585173913045</v>
      </c>
      <c r="G13" s="732">
        <v>1596.626847695652</v>
      </c>
      <c r="H13" s="732">
        <v>24179.212021608695</v>
      </c>
      <c r="I13" s="732">
        <v>10737.881478260868</v>
      </c>
      <c r="J13" s="732">
        <v>798.31342384782602</v>
      </c>
      <c r="K13" s="733">
        <v>11536.194902108693</v>
      </c>
    </row>
    <row r="14" spans="1:11">
      <c r="A14" s="234">
        <v>6</v>
      </c>
      <c r="B14" s="209" t="s">
        <v>342</v>
      </c>
      <c r="C14" s="363">
        <v>0</v>
      </c>
      <c r="D14" s="732">
        <v>0</v>
      </c>
      <c r="E14" s="732">
        <v>0</v>
      </c>
      <c r="F14" s="732">
        <v>0</v>
      </c>
      <c r="G14" s="732">
        <v>0</v>
      </c>
      <c r="H14" s="732">
        <v>0</v>
      </c>
      <c r="I14" s="732">
        <v>0</v>
      </c>
      <c r="J14" s="732">
        <v>0</v>
      </c>
      <c r="K14" s="733">
        <v>0</v>
      </c>
    </row>
    <row r="15" spans="1:11">
      <c r="A15" s="234">
        <v>7</v>
      </c>
      <c r="B15" s="209" t="s">
        <v>329</v>
      </c>
      <c r="C15" s="363">
        <v>2912659.1033695647</v>
      </c>
      <c r="D15" s="732">
        <v>33841508.321971744</v>
      </c>
      <c r="E15" s="732">
        <v>36754167.425341308</v>
      </c>
      <c r="F15" s="732">
        <v>651159.01902173937</v>
      </c>
      <c r="G15" s="732">
        <v>13531015.200721741</v>
      </c>
      <c r="H15" s="732">
        <v>14182174.219743485</v>
      </c>
      <c r="I15" s="732">
        <v>651159.01902173937</v>
      </c>
      <c r="J15" s="732">
        <v>13531015.200721741</v>
      </c>
      <c r="K15" s="733">
        <v>14182174.219743485</v>
      </c>
    </row>
    <row r="16" spans="1:11">
      <c r="A16" s="234">
        <v>8</v>
      </c>
      <c r="B16" s="210" t="s">
        <v>330</v>
      </c>
      <c r="C16" s="363">
        <v>16150980.060543472</v>
      </c>
      <c r="D16" s="732">
        <v>110182268.16403565</v>
      </c>
      <c r="E16" s="732">
        <v>126333248.22457908</v>
      </c>
      <c r="F16" s="732">
        <v>8110735.700869564</v>
      </c>
      <c r="G16" s="732">
        <v>14076800.110322699</v>
      </c>
      <c r="H16" s="732">
        <v>22187535.811192263</v>
      </c>
      <c r="I16" s="732">
        <v>4502517.1977608716</v>
      </c>
      <c r="J16" s="732">
        <v>13937025.816422759</v>
      </c>
      <c r="K16" s="733">
        <v>18439543.014183626</v>
      </c>
    </row>
    <row r="17" spans="1:11">
      <c r="A17" s="232" t="s">
        <v>331</v>
      </c>
      <c r="B17" s="224"/>
      <c r="C17" s="730"/>
      <c r="D17" s="730"/>
      <c r="E17" s="730"/>
      <c r="F17" s="730"/>
      <c r="G17" s="730"/>
      <c r="H17" s="730"/>
      <c r="I17" s="730"/>
      <c r="J17" s="730"/>
      <c r="K17" s="731"/>
    </row>
    <row r="18" spans="1:11">
      <c r="A18" s="234">
        <v>9</v>
      </c>
      <c r="B18" s="209" t="s">
        <v>332</v>
      </c>
      <c r="C18" s="363">
        <v>0</v>
      </c>
      <c r="D18" s="732">
        <v>0</v>
      </c>
      <c r="E18" s="732">
        <v>0</v>
      </c>
      <c r="F18" s="732">
        <v>0</v>
      </c>
      <c r="G18" s="732">
        <v>0</v>
      </c>
      <c r="H18" s="732">
        <v>0</v>
      </c>
      <c r="I18" s="732">
        <v>0</v>
      </c>
      <c r="J18" s="732">
        <v>0</v>
      </c>
      <c r="K18" s="733">
        <v>0</v>
      </c>
    </row>
    <row r="19" spans="1:11">
      <c r="A19" s="234">
        <v>10</v>
      </c>
      <c r="B19" s="209" t="s">
        <v>333</v>
      </c>
      <c r="C19" s="363">
        <v>28010070.545721903</v>
      </c>
      <c r="D19" s="732">
        <v>30844009.830797624</v>
      </c>
      <c r="E19" s="732">
        <v>58854080.376519524</v>
      </c>
      <c r="F19" s="732">
        <v>19067.382977577177</v>
      </c>
      <c r="G19" s="732">
        <v>14798.161601805143</v>
      </c>
      <c r="H19" s="732">
        <v>33865.544579382302</v>
      </c>
      <c r="I19" s="732">
        <v>19067.382977577177</v>
      </c>
      <c r="J19" s="732">
        <v>14798.161601805143</v>
      </c>
      <c r="K19" s="733">
        <v>33865.544579382302</v>
      </c>
    </row>
    <row r="20" spans="1:11">
      <c r="A20" s="234">
        <v>11</v>
      </c>
      <c r="B20" s="209" t="s">
        <v>334</v>
      </c>
      <c r="C20" s="363">
        <v>14585449.714782609</v>
      </c>
      <c r="D20" s="732">
        <v>3414158.6020597829</v>
      </c>
      <c r="E20" s="732">
        <v>17999608.316842388</v>
      </c>
      <c r="F20" s="732">
        <v>0</v>
      </c>
      <c r="G20" s="732">
        <v>0</v>
      </c>
      <c r="H20" s="732">
        <v>0</v>
      </c>
      <c r="I20" s="732">
        <v>0</v>
      </c>
      <c r="J20" s="732">
        <v>0</v>
      </c>
      <c r="K20" s="733">
        <v>0</v>
      </c>
    </row>
    <row r="21" spans="1:11" ht="13.5" thickBot="1">
      <c r="A21" s="154">
        <v>12</v>
      </c>
      <c r="B21" s="235" t="s">
        <v>335</v>
      </c>
      <c r="C21" s="734">
        <v>42595520.260504507</v>
      </c>
      <c r="D21" s="735">
        <v>34258168.432857417</v>
      </c>
      <c r="E21" s="734">
        <v>76853688.693361953</v>
      </c>
      <c r="F21" s="735">
        <v>19067.382977577177</v>
      </c>
      <c r="G21" s="735">
        <v>14798.161601805143</v>
      </c>
      <c r="H21" s="735">
        <v>33865.544579382302</v>
      </c>
      <c r="I21" s="735">
        <v>19067.382977577177</v>
      </c>
      <c r="J21" s="735">
        <v>14798.161601805143</v>
      </c>
      <c r="K21" s="736">
        <v>33865.544579382302</v>
      </c>
    </row>
    <row r="22" spans="1:11" ht="38.25" customHeight="1" thickBot="1">
      <c r="A22" s="221"/>
      <c r="B22" s="222"/>
      <c r="C22" s="222"/>
      <c r="D22" s="222"/>
      <c r="E22" s="222"/>
      <c r="F22" s="854" t="s">
        <v>336</v>
      </c>
      <c r="G22" s="855"/>
      <c r="H22" s="855"/>
      <c r="I22" s="854" t="s">
        <v>337</v>
      </c>
      <c r="J22" s="855"/>
      <c r="K22" s="856"/>
    </row>
    <row r="23" spans="1:11">
      <c r="A23" s="214">
        <v>13</v>
      </c>
      <c r="B23" s="211" t="s">
        <v>322</v>
      </c>
      <c r="C23" s="220"/>
      <c r="D23" s="220"/>
      <c r="E23" s="220"/>
      <c r="F23" s="737">
        <v>90563591.753369614</v>
      </c>
      <c r="G23" s="737">
        <v>69635023.60466738</v>
      </c>
      <c r="H23" s="737">
        <v>160198615.35803691</v>
      </c>
      <c r="I23" s="737">
        <v>90563591.753369614</v>
      </c>
      <c r="J23" s="737">
        <v>69635023.60466738</v>
      </c>
      <c r="K23" s="738">
        <v>160198615.35803691</v>
      </c>
    </row>
    <row r="24" spans="1:11" ht="13.5" thickBot="1">
      <c r="A24" s="215">
        <v>14</v>
      </c>
      <c r="B24" s="212" t="s">
        <v>338</v>
      </c>
      <c r="C24" s="236"/>
      <c r="D24" s="218"/>
      <c r="E24" s="219"/>
      <c r="F24" s="739">
        <v>8091668.317891987</v>
      </c>
      <c r="G24" s="739">
        <v>14062001.948720893</v>
      </c>
      <c r="H24" s="739">
        <v>22153670.26661288</v>
      </c>
      <c r="I24" s="739">
        <v>4483449.8147832947</v>
      </c>
      <c r="J24" s="739">
        <v>13922227.654820953</v>
      </c>
      <c r="K24" s="740">
        <v>18405677.469604243</v>
      </c>
    </row>
    <row r="25" spans="1:11" ht="13.5" thickBot="1">
      <c r="A25" s="216">
        <v>15</v>
      </c>
      <c r="B25" s="213" t="s">
        <v>339</v>
      </c>
      <c r="C25" s="217"/>
      <c r="D25" s="217"/>
      <c r="E25" s="217"/>
      <c r="F25" s="741">
        <v>11.192202670136499</v>
      </c>
      <c r="G25" s="741">
        <v>4.9519992856352522</v>
      </c>
      <c r="H25" s="741">
        <v>7.2312449102155023</v>
      </c>
      <c r="I25" s="741">
        <v>20.199532836244529</v>
      </c>
      <c r="J25" s="741">
        <v>5.0017156256279396</v>
      </c>
      <c r="K25" s="742">
        <v>8.7037608706658212</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JSC "VTB Bank (Georgia)"</v>
      </c>
    </row>
    <row r="2" spans="1:14" ht="14.25" customHeight="1">
      <c r="A2" s="38" t="s">
        <v>109</v>
      </c>
      <c r="B2" s="337">
        <f>Info!D2</f>
        <v>45657</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85">
        <f>SUM(C8:C13)</f>
        <v>0</v>
      </c>
      <c r="D7" s="67"/>
      <c r="E7" s="188">
        <f t="shared" ref="E7:M7" si="0">SUM(E8:E13)</f>
        <v>0</v>
      </c>
      <c r="F7" s="185">
        <f>SUM(F8:F13)</f>
        <v>0</v>
      </c>
      <c r="G7" s="185">
        <f t="shared" si="0"/>
        <v>0</v>
      </c>
      <c r="H7" s="185">
        <f t="shared" si="0"/>
        <v>0</v>
      </c>
      <c r="I7" s="185">
        <f t="shared" si="0"/>
        <v>0</v>
      </c>
      <c r="J7" s="185">
        <f t="shared" si="0"/>
        <v>0</v>
      </c>
      <c r="K7" s="185">
        <f t="shared" si="0"/>
        <v>0</v>
      </c>
      <c r="L7" s="185">
        <f t="shared" si="0"/>
        <v>0</v>
      </c>
      <c r="M7" s="185">
        <f t="shared" si="0"/>
        <v>0</v>
      </c>
      <c r="N7" s="114">
        <f>SUM(N8:N13)</f>
        <v>0</v>
      </c>
    </row>
    <row r="8" spans="1:14">
      <c r="A8" s="113">
        <v>1.1000000000000001</v>
      </c>
      <c r="B8" s="73" t="s">
        <v>76</v>
      </c>
      <c r="C8" s="186">
        <v>0</v>
      </c>
      <c r="D8" s="74">
        <v>0.02</v>
      </c>
      <c r="E8" s="188">
        <f>C8*D8</f>
        <v>0</v>
      </c>
      <c r="F8" s="186"/>
      <c r="G8" s="186"/>
      <c r="H8" s="186"/>
      <c r="I8" s="186"/>
      <c r="J8" s="186"/>
      <c r="K8" s="186"/>
      <c r="L8" s="186"/>
      <c r="M8" s="186"/>
      <c r="N8" s="114">
        <f>SUMPRODUCT($F$6:$M$6,F8:M8)</f>
        <v>0</v>
      </c>
    </row>
    <row r="9" spans="1:14">
      <c r="A9" s="113">
        <v>1.2</v>
      </c>
      <c r="B9" s="73" t="s">
        <v>77</v>
      </c>
      <c r="C9" s="186">
        <v>0</v>
      </c>
      <c r="D9" s="74">
        <v>0.05</v>
      </c>
      <c r="E9" s="188">
        <f>C9*D9</f>
        <v>0</v>
      </c>
      <c r="F9" s="186"/>
      <c r="G9" s="186"/>
      <c r="H9" s="186"/>
      <c r="I9" s="186"/>
      <c r="J9" s="186"/>
      <c r="K9" s="186"/>
      <c r="L9" s="186"/>
      <c r="M9" s="186"/>
      <c r="N9" s="114">
        <f t="shared" ref="N9:N12" si="1">SUMPRODUCT($F$6:$M$6,F9:M9)</f>
        <v>0</v>
      </c>
    </row>
    <row r="10" spans="1:14">
      <c r="A10" s="113">
        <v>1.3</v>
      </c>
      <c r="B10" s="73" t="s">
        <v>78</v>
      </c>
      <c r="C10" s="186">
        <v>0</v>
      </c>
      <c r="D10" s="74">
        <v>0.08</v>
      </c>
      <c r="E10" s="188">
        <f>C10*D10</f>
        <v>0</v>
      </c>
      <c r="F10" s="186"/>
      <c r="G10" s="186"/>
      <c r="H10" s="186"/>
      <c r="I10" s="186"/>
      <c r="J10" s="186"/>
      <c r="K10" s="186"/>
      <c r="L10" s="186"/>
      <c r="M10" s="186"/>
      <c r="N10" s="114">
        <f>SUMPRODUCT($F$6:$M$6,F10:M10)</f>
        <v>0</v>
      </c>
    </row>
    <row r="11" spans="1:14">
      <c r="A11" s="113">
        <v>1.4</v>
      </c>
      <c r="B11" s="73" t="s">
        <v>79</v>
      </c>
      <c r="C11" s="186">
        <v>0</v>
      </c>
      <c r="D11" s="74">
        <v>0.11</v>
      </c>
      <c r="E11" s="188">
        <f>C11*D11</f>
        <v>0</v>
      </c>
      <c r="F11" s="186"/>
      <c r="G11" s="186"/>
      <c r="H11" s="186"/>
      <c r="I11" s="186"/>
      <c r="J11" s="186"/>
      <c r="K11" s="186"/>
      <c r="L11" s="186"/>
      <c r="M11" s="186"/>
      <c r="N11" s="114">
        <f t="shared" si="1"/>
        <v>0</v>
      </c>
    </row>
    <row r="12" spans="1:14">
      <c r="A12" s="113">
        <v>1.5</v>
      </c>
      <c r="B12" s="73" t="s">
        <v>80</v>
      </c>
      <c r="C12" s="186">
        <v>0</v>
      </c>
      <c r="D12" s="74">
        <v>0.14000000000000001</v>
      </c>
      <c r="E12" s="188">
        <f>C12*D12</f>
        <v>0</v>
      </c>
      <c r="F12" s="186"/>
      <c r="G12" s="186"/>
      <c r="H12" s="186"/>
      <c r="I12" s="186"/>
      <c r="J12" s="186"/>
      <c r="K12" s="186"/>
      <c r="L12" s="186"/>
      <c r="M12" s="186"/>
      <c r="N12" s="114">
        <f t="shared" si="1"/>
        <v>0</v>
      </c>
    </row>
    <row r="13" spans="1:14">
      <c r="A13" s="113">
        <v>1.6</v>
      </c>
      <c r="B13" s="75" t="s">
        <v>81</v>
      </c>
      <c r="C13" s="186">
        <v>0</v>
      </c>
      <c r="D13" s="76"/>
      <c r="E13" s="186"/>
      <c r="F13" s="186"/>
      <c r="G13" s="186"/>
      <c r="H13" s="186"/>
      <c r="I13" s="186"/>
      <c r="J13" s="186"/>
      <c r="K13" s="186"/>
      <c r="L13" s="186"/>
      <c r="M13" s="186"/>
      <c r="N13" s="114">
        <f>SUMPRODUCT($F$6:$M$6,F13:M13)</f>
        <v>0</v>
      </c>
    </row>
    <row r="14" spans="1:14">
      <c r="A14" s="113">
        <v>2</v>
      </c>
      <c r="B14" s="77" t="s">
        <v>82</v>
      </c>
      <c r="C14" s="185">
        <f>SUM(C15:C20)</f>
        <v>0</v>
      </c>
      <c r="D14" s="67"/>
      <c r="E14" s="188">
        <f t="shared" ref="E14:M14" si="2">SUM(E15:E20)</f>
        <v>0</v>
      </c>
      <c r="F14" s="186">
        <f t="shared" si="2"/>
        <v>0</v>
      </c>
      <c r="G14" s="186">
        <f t="shared" si="2"/>
        <v>0</v>
      </c>
      <c r="H14" s="186">
        <f t="shared" si="2"/>
        <v>0</v>
      </c>
      <c r="I14" s="186">
        <f t="shared" si="2"/>
        <v>0</v>
      </c>
      <c r="J14" s="186">
        <f t="shared" si="2"/>
        <v>0</v>
      </c>
      <c r="K14" s="186">
        <f t="shared" si="2"/>
        <v>0</v>
      </c>
      <c r="L14" s="186">
        <f t="shared" si="2"/>
        <v>0</v>
      </c>
      <c r="M14" s="186">
        <f t="shared" si="2"/>
        <v>0</v>
      </c>
      <c r="N14" s="114">
        <f>SUM(N15:N20)</f>
        <v>0</v>
      </c>
    </row>
    <row r="15" spans="1:14">
      <c r="A15" s="113">
        <v>2.1</v>
      </c>
      <c r="B15" s="75" t="s">
        <v>76</v>
      </c>
      <c r="C15" s="186"/>
      <c r="D15" s="74">
        <v>5.0000000000000001E-3</v>
      </c>
      <c r="E15" s="188">
        <f>C15*D15</f>
        <v>0</v>
      </c>
      <c r="F15" s="186"/>
      <c r="G15" s="186"/>
      <c r="H15" s="186"/>
      <c r="I15" s="186"/>
      <c r="J15" s="186"/>
      <c r="K15" s="186"/>
      <c r="L15" s="186"/>
      <c r="M15" s="186"/>
      <c r="N15" s="114">
        <f>SUMPRODUCT($F$6:$M$6,F15:M15)</f>
        <v>0</v>
      </c>
    </row>
    <row r="16" spans="1:14">
      <c r="A16" s="113">
        <v>2.2000000000000002</v>
      </c>
      <c r="B16" s="75" t="s">
        <v>77</v>
      </c>
      <c r="C16" s="186"/>
      <c r="D16" s="74">
        <v>0.01</v>
      </c>
      <c r="E16" s="188">
        <f>C16*D16</f>
        <v>0</v>
      </c>
      <c r="F16" s="186"/>
      <c r="G16" s="186"/>
      <c r="H16" s="186"/>
      <c r="I16" s="186"/>
      <c r="J16" s="186"/>
      <c r="K16" s="186"/>
      <c r="L16" s="186"/>
      <c r="M16" s="186"/>
      <c r="N16" s="114">
        <f t="shared" ref="N16:N20" si="3">SUMPRODUCT($F$6:$M$6,F16:M16)</f>
        <v>0</v>
      </c>
    </row>
    <row r="17" spans="1:14">
      <c r="A17" s="113">
        <v>2.2999999999999998</v>
      </c>
      <c r="B17" s="75" t="s">
        <v>78</v>
      </c>
      <c r="C17" s="186"/>
      <c r="D17" s="74">
        <v>0.02</v>
      </c>
      <c r="E17" s="188">
        <f>C17*D17</f>
        <v>0</v>
      </c>
      <c r="F17" s="186"/>
      <c r="G17" s="186"/>
      <c r="H17" s="186"/>
      <c r="I17" s="186"/>
      <c r="J17" s="186"/>
      <c r="K17" s="186"/>
      <c r="L17" s="186"/>
      <c r="M17" s="186"/>
      <c r="N17" s="114">
        <f t="shared" si="3"/>
        <v>0</v>
      </c>
    </row>
    <row r="18" spans="1:14">
      <c r="A18" s="113">
        <v>2.4</v>
      </c>
      <c r="B18" s="75" t="s">
        <v>79</v>
      </c>
      <c r="C18" s="186"/>
      <c r="D18" s="74">
        <v>0.03</v>
      </c>
      <c r="E18" s="188">
        <f>C18*D18</f>
        <v>0</v>
      </c>
      <c r="F18" s="186"/>
      <c r="G18" s="186"/>
      <c r="H18" s="186"/>
      <c r="I18" s="186"/>
      <c r="J18" s="186"/>
      <c r="K18" s="186"/>
      <c r="L18" s="186"/>
      <c r="M18" s="186"/>
      <c r="N18" s="114">
        <f t="shared" si="3"/>
        <v>0</v>
      </c>
    </row>
    <row r="19" spans="1:14">
      <c r="A19" s="113">
        <v>2.5</v>
      </c>
      <c r="B19" s="75" t="s">
        <v>80</v>
      </c>
      <c r="C19" s="186"/>
      <c r="D19" s="74">
        <v>0.04</v>
      </c>
      <c r="E19" s="188">
        <f>C19*D19</f>
        <v>0</v>
      </c>
      <c r="F19" s="186"/>
      <c r="G19" s="186"/>
      <c r="H19" s="186"/>
      <c r="I19" s="186"/>
      <c r="J19" s="186"/>
      <c r="K19" s="186"/>
      <c r="L19" s="186"/>
      <c r="M19" s="186"/>
      <c r="N19" s="114">
        <f t="shared" si="3"/>
        <v>0</v>
      </c>
    </row>
    <row r="20" spans="1:14">
      <c r="A20" s="113">
        <v>2.6</v>
      </c>
      <c r="B20" s="75" t="s">
        <v>81</v>
      </c>
      <c r="C20" s="186"/>
      <c r="D20" s="76"/>
      <c r="E20" s="189"/>
      <c r="F20" s="186"/>
      <c r="G20" s="186"/>
      <c r="H20" s="186"/>
      <c r="I20" s="186"/>
      <c r="J20" s="186"/>
      <c r="K20" s="186"/>
      <c r="L20" s="186"/>
      <c r="M20" s="186"/>
      <c r="N20" s="114">
        <f t="shared" si="3"/>
        <v>0</v>
      </c>
    </row>
    <row r="21" spans="1:14" ht="15.75" thickBot="1">
      <c r="A21" s="115">
        <v>3</v>
      </c>
      <c r="B21" s="116" t="s">
        <v>66</v>
      </c>
      <c r="C21" s="187">
        <f>C14+C7</f>
        <v>0</v>
      </c>
      <c r="D21" s="117"/>
      <c r="E21" s="190">
        <f>E14+E7</f>
        <v>0</v>
      </c>
      <c r="F21" s="191">
        <f>F7+F14</f>
        <v>0</v>
      </c>
      <c r="G21" s="191">
        <f t="shared" ref="G21:L21" si="4">G7+G14</f>
        <v>0</v>
      </c>
      <c r="H21" s="191">
        <f t="shared" si="4"/>
        <v>0</v>
      </c>
      <c r="I21" s="191">
        <f t="shared" si="4"/>
        <v>0</v>
      </c>
      <c r="J21" s="191">
        <f t="shared" si="4"/>
        <v>0</v>
      </c>
      <c r="K21" s="191">
        <f t="shared" si="4"/>
        <v>0</v>
      </c>
      <c r="L21" s="191">
        <f t="shared" si="4"/>
        <v>0</v>
      </c>
      <c r="M21" s="191">
        <f>M7+M14</f>
        <v>0</v>
      </c>
      <c r="N21" s="118">
        <f>N14+N7</f>
        <v>0</v>
      </c>
    </row>
    <row r="22" spans="1:14">
      <c r="E22" s="192"/>
      <c r="F22" s="192"/>
      <c r="G22" s="192"/>
      <c r="H22" s="192"/>
      <c r="I22" s="192"/>
      <c r="J22" s="192"/>
      <c r="K22" s="192"/>
      <c r="L22" s="192"/>
      <c r="M22" s="192"/>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topLeftCell="A4" zoomScale="55" zoomScaleNormal="55" workbookViewId="0">
      <selection activeCell="C6" sqref="C6:C7"/>
    </sheetView>
  </sheetViews>
  <sheetFormatPr defaultRowHeight="15"/>
  <cols>
    <col min="1" max="1" width="11.42578125" customWidth="1"/>
    <col min="2" max="2" width="76.7109375" style="4" customWidth="1"/>
    <col min="3" max="3" width="22.7109375" customWidth="1"/>
  </cols>
  <sheetData>
    <row r="1" spans="1:3">
      <c r="A1" s="227" t="s">
        <v>108</v>
      </c>
      <c r="B1" t="str">
        <f>Info!C2</f>
        <v>JSC "VTB Bank (Georgia)"</v>
      </c>
    </row>
    <row r="2" spans="1:3">
      <c r="A2" s="227" t="s">
        <v>109</v>
      </c>
      <c r="B2" s="337">
        <f>Info!D2</f>
        <v>45657</v>
      </c>
    </row>
    <row r="3" spans="1:3">
      <c r="A3" s="227"/>
      <c r="B3"/>
    </row>
    <row r="4" spans="1:3">
      <c r="A4" s="227" t="s">
        <v>428</v>
      </c>
      <c r="B4" t="s">
        <v>387</v>
      </c>
    </row>
    <row r="5" spans="1:3">
      <c r="A5" s="278"/>
      <c r="B5" s="278" t="s">
        <v>388</v>
      </c>
      <c r="C5" s="290"/>
    </row>
    <row r="6" spans="1:3">
      <c r="A6" s="279">
        <v>1</v>
      </c>
      <c r="B6" s="291" t="s">
        <v>440</v>
      </c>
      <c r="C6" s="717">
        <v>450554427.54340649</v>
      </c>
    </row>
    <row r="7" spans="1:3">
      <c r="A7" s="279">
        <v>2</v>
      </c>
      <c r="B7" s="291" t="s">
        <v>389</v>
      </c>
      <c r="C7" s="717">
        <v>-13485939.640000001</v>
      </c>
    </row>
    <row r="8" spans="1:3">
      <c r="A8" s="280">
        <v>3</v>
      </c>
      <c r="B8" s="293" t="s">
        <v>390</v>
      </c>
      <c r="C8" s="294">
        <f>C6+C7</f>
        <v>437068487.9034065</v>
      </c>
    </row>
    <row r="9" spans="1:3">
      <c r="A9" s="281"/>
      <c r="B9" s="281" t="s">
        <v>391</v>
      </c>
      <c r="C9" s="295"/>
    </row>
    <row r="10" spans="1:3">
      <c r="A10" s="282">
        <v>4</v>
      </c>
      <c r="B10" s="296" t="s">
        <v>392</v>
      </c>
      <c r="C10" s="292"/>
    </row>
    <row r="11" spans="1:3">
      <c r="A11" s="282">
        <v>5</v>
      </c>
      <c r="B11" s="297" t="s">
        <v>393</v>
      </c>
      <c r="C11" s="292"/>
    </row>
    <row r="12" spans="1:3">
      <c r="A12" s="282" t="s">
        <v>394</v>
      </c>
      <c r="B12" s="291" t="s">
        <v>395</v>
      </c>
      <c r="C12" s="294">
        <f>'15. CCR'!E21</f>
        <v>0</v>
      </c>
    </row>
    <row r="13" spans="1:3">
      <c r="A13" s="283">
        <v>6</v>
      </c>
      <c r="B13" s="298" t="s">
        <v>396</v>
      </c>
      <c r="C13" s="292"/>
    </row>
    <row r="14" spans="1:3">
      <c r="A14" s="283">
        <v>7</v>
      </c>
      <c r="B14" s="299" t="s">
        <v>397</v>
      </c>
      <c r="C14" s="292"/>
    </row>
    <row r="15" spans="1:3">
      <c r="A15" s="284">
        <v>8</v>
      </c>
      <c r="B15" s="291" t="s">
        <v>398</v>
      </c>
      <c r="C15" s="292"/>
    </row>
    <row r="16" spans="1:3" ht="24">
      <c r="A16" s="283">
        <v>9</v>
      </c>
      <c r="B16" s="299" t="s">
        <v>399</v>
      </c>
      <c r="C16" s="292"/>
    </row>
    <row r="17" spans="1:3">
      <c r="A17" s="283">
        <v>10</v>
      </c>
      <c r="B17" s="299" t="s">
        <v>400</v>
      </c>
      <c r="C17" s="292"/>
    </row>
    <row r="18" spans="1:3">
      <c r="A18" s="285">
        <v>11</v>
      </c>
      <c r="B18" s="300" t="s">
        <v>401</v>
      </c>
      <c r="C18" s="294">
        <f>SUM(C10:C17)</f>
        <v>0</v>
      </c>
    </row>
    <row r="19" spans="1:3">
      <c r="A19" s="281"/>
      <c r="B19" s="281" t="s">
        <v>402</v>
      </c>
      <c r="C19" s="301"/>
    </row>
    <row r="20" spans="1:3">
      <c r="A20" s="283">
        <v>12</v>
      </c>
      <c r="B20" s="296" t="s">
        <v>403</v>
      </c>
      <c r="C20" s="292"/>
    </row>
    <row r="21" spans="1:3">
      <c r="A21" s="283">
        <v>13</v>
      </c>
      <c r="B21" s="296" t="s">
        <v>404</v>
      </c>
      <c r="C21" s="292"/>
    </row>
    <row r="22" spans="1:3">
      <c r="A22" s="283">
        <v>14</v>
      </c>
      <c r="B22" s="296" t="s">
        <v>405</v>
      </c>
      <c r="C22" s="292"/>
    </row>
    <row r="23" spans="1:3" ht="24">
      <c r="A23" s="283" t="s">
        <v>406</v>
      </c>
      <c r="B23" s="296" t="s">
        <v>407</v>
      </c>
      <c r="C23" s="292"/>
    </row>
    <row r="24" spans="1:3">
      <c r="A24" s="283">
        <v>15</v>
      </c>
      <c r="B24" s="296" t="s">
        <v>408</v>
      </c>
      <c r="C24" s="292"/>
    </row>
    <row r="25" spans="1:3">
      <c r="A25" s="283" t="s">
        <v>409</v>
      </c>
      <c r="B25" s="291" t="s">
        <v>410</v>
      </c>
      <c r="C25" s="292"/>
    </row>
    <row r="26" spans="1:3">
      <c r="A26" s="285">
        <v>16</v>
      </c>
      <c r="B26" s="300" t="s">
        <v>411</v>
      </c>
      <c r="C26" s="294">
        <f>SUM(C20:C25)</f>
        <v>0</v>
      </c>
    </row>
    <row r="27" spans="1:3">
      <c r="A27" s="281"/>
      <c r="B27" s="281" t="s">
        <v>412</v>
      </c>
      <c r="C27" s="295"/>
    </row>
    <row r="28" spans="1:3">
      <c r="A28" s="282">
        <v>17</v>
      </c>
      <c r="B28" s="291" t="s">
        <v>413</v>
      </c>
      <c r="C28" s="292"/>
    </row>
    <row r="29" spans="1:3">
      <c r="A29" s="282">
        <v>18</v>
      </c>
      <c r="B29" s="291" t="s">
        <v>414</v>
      </c>
      <c r="C29" s="292"/>
    </row>
    <row r="30" spans="1:3">
      <c r="A30" s="285">
        <v>19</v>
      </c>
      <c r="B30" s="300" t="s">
        <v>415</v>
      </c>
      <c r="C30" s="294">
        <f>C28+C29</f>
        <v>0</v>
      </c>
    </row>
    <row r="31" spans="1:3">
      <c r="A31" s="286"/>
      <c r="B31" s="281" t="s">
        <v>416</v>
      </c>
      <c r="C31" s="295"/>
    </row>
    <row r="32" spans="1:3">
      <c r="A32" s="282" t="s">
        <v>417</v>
      </c>
      <c r="B32" s="296" t="s">
        <v>418</v>
      </c>
      <c r="C32" s="302"/>
    </row>
    <row r="33" spans="1:3">
      <c r="A33" s="282" t="s">
        <v>419</v>
      </c>
      <c r="B33" s="297" t="s">
        <v>420</v>
      </c>
      <c r="C33" s="302"/>
    </row>
    <row r="34" spans="1:3">
      <c r="A34" s="281"/>
      <c r="B34" s="281" t="s">
        <v>421</v>
      </c>
      <c r="C34" s="295"/>
    </row>
    <row r="35" spans="1:3">
      <c r="A35" s="285">
        <v>20</v>
      </c>
      <c r="B35" s="300" t="s">
        <v>86</v>
      </c>
      <c r="C35" s="294">
        <f>'1. key ratios'!C9</f>
        <v>317094230.98415458</v>
      </c>
    </row>
    <row r="36" spans="1:3">
      <c r="A36" s="285">
        <v>21</v>
      </c>
      <c r="B36" s="300" t="s">
        <v>422</v>
      </c>
      <c r="C36" s="294">
        <f>C8+C18+C26+C30</f>
        <v>437068487.9034065</v>
      </c>
    </row>
    <row r="37" spans="1:3">
      <c r="A37" s="287"/>
      <c r="B37" s="287" t="s">
        <v>387</v>
      </c>
      <c r="C37" s="295"/>
    </row>
    <row r="38" spans="1:3">
      <c r="A38" s="285">
        <v>22</v>
      </c>
      <c r="B38" s="300" t="s">
        <v>387</v>
      </c>
      <c r="C38" s="632">
        <f>IFERROR(C35/C36,0)</f>
        <v>0.72550238637710573</v>
      </c>
    </row>
    <row r="39" spans="1:3">
      <c r="A39" s="287"/>
      <c r="B39" s="287" t="s">
        <v>423</v>
      </c>
      <c r="C39" s="295"/>
    </row>
    <row r="40" spans="1:3">
      <c r="A40" s="288" t="s">
        <v>424</v>
      </c>
      <c r="B40" s="296" t="s">
        <v>425</v>
      </c>
      <c r="C40" s="302"/>
    </row>
    <row r="41" spans="1:3">
      <c r="A41" s="289" t="s">
        <v>426</v>
      </c>
      <c r="B41" s="297" t="s">
        <v>427</v>
      </c>
      <c r="C41" s="302"/>
    </row>
    <row r="43" spans="1:3">
      <c r="B43" s="307"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50" zoomScaleNormal="50" workbookViewId="0">
      <pane xSplit="2" ySplit="6" topLeftCell="C7" activePane="bottomRight" state="frozen"/>
      <selection activeCell="B2" sqref="B2"/>
      <selection pane="topRight" activeCell="B2" sqref="B2"/>
      <selection pane="bottomLeft" activeCell="B2" sqref="B2"/>
      <selection pane="bottomRight" activeCell="C8" sqref="C8:G37"/>
    </sheetView>
  </sheetViews>
  <sheetFormatPr defaultRowHeight="15"/>
  <cols>
    <col min="1" max="1" width="9.85546875" style="227" bestFit="1" customWidth="1"/>
    <col min="2" max="2" width="82.7109375" style="23" customWidth="1"/>
    <col min="3" max="7" width="17.5703125" style="227" customWidth="1"/>
  </cols>
  <sheetData>
    <row r="1" spans="1:7">
      <c r="A1" s="227" t="s">
        <v>108</v>
      </c>
      <c r="B1" s="227" t="str">
        <f>Info!C2</f>
        <v>JSC "VTB Bank (Georgia)"</v>
      </c>
    </row>
    <row r="2" spans="1:7">
      <c r="A2" s="227" t="s">
        <v>109</v>
      </c>
      <c r="B2" s="743">
        <f>Info!D2</f>
        <v>45657</v>
      </c>
    </row>
    <row r="3" spans="1:7">
      <c r="B3" s="337"/>
    </row>
    <row r="4" spans="1:7" ht="15.75" thickBot="1">
      <c r="A4" s="227" t="s">
        <v>488</v>
      </c>
      <c r="B4" s="338" t="s">
        <v>453</v>
      </c>
    </row>
    <row r="5" spans="1:7">
      <c r="A5" s="339"/>
      <c r="B5" s="340"/>
      <c r="C5" s="859" t="s">
        <v>454</v>
      </c>
      <c r="D5" s="859"/>
      <c r="E5" s="859"/>
      <c r="F5" s="859"/>
      <c r="G5" s="860" t="s">
        <v>455</v>
      </c>
    </row>
    <row r="6" spans="1:7">
      <c r="A6" s="341"/>
      <c r="B6" s="342"/>
      <c r="C6" s="343" t="s">
        <v>456</v>
      </c>
      <c r="D6" s="344" t="s">
        <v>457</v>
      </c>
      <c r="E6" s="344" t="s">
        <v>458</v>
      </c>
      <c r="F6" s="344" t="s">
        <v>459</v>
      </c>
      <c r="G6" s="861"/>
    </row>
    <row r="7" spans="1:7">
      <c r="A7" s="345"/>
      <c r="B7" s="346" t="s">
        <v>460</v>
      </c>
      <c r="C7" s="347"/>
      <c r="D7" s="347"/>
      <c r="E7" s="347"/>
      <c r="F7" s="347"/>
      <c r="G7" s="348"/>
    </row>
    <row r="8" spans="1:7">
      <c r="A8" s="349">
        <v>1</v>
      </c>
      <c r="B8" s="350" t="s">
        <v>461</v>
      </c>
      <c r="C8" s="781">
        <v>317094230.98415458</v>
      </c>
      <c r="D8" s="781">
        <v>0</v>
      </c>
      <c r="E8" s="781">
        <v>0</v>
      </c>
      <c r="F8" s="781">
        <v>89812035.934200004</v>
      </c>
      <c r="G8" s="782">
        <v>406906266.91835457</v>
      </c>
    </row>
    <row r="9" spans="1:7">
      <c r="A9" s="349">
        <v>2</v>
      </c>
      <c r="B9" s="353" t="s">
        <v>85</v>
      </c>
      <c r="C9" s="781">
        <v>317094230.98415458</v>
      </c>
      <c r="D9" s="781"/>
      <c r="E9" s="781"/>
      <c r="F9" s="781">
        <v>42079620.802760005</v>
      </c>
      <c r="G9" s="782">
        <v>359173851.78691459</v>
      </c>
    </row>
    <row r="10" spans="1:7">
      <c r="A10" s="349">
        <v>3</v>
      </c>
      <c r="B10" s="353" t="s">
        <v>462</v>
      </c>
      <c r="C10" s="354"/>
      <c r="D10" s="354"/>
      <c r="E10" s="354"/>
      <c r="F10" s="781">
        <v>47732415.131439999</v>
      </c>
      <c r="G10" s="782">
        <v>47732415.131439999</v>
      </c>
    </row>
    <row r="11" spans="1:7" ht="26.25">
      <c r="A11" s="349">
        <v>4</v>
      </c>
      <c r="B11" s="350" t="s">
        <v>463</v>
      </c>
      <c r="C11" s="781">
        <v>3331340.8800000004</v>
      </c>
      <c r="D11" s="781">
        <v>555022.39</v>
      </c>
      <c r="E11" s="351">
        <v>0</v>
      </c>
      <c r="F11" s="781">
        <v>0</v>
      </c>
      <c r="G11" s="782">
        <v>3692002.7660000003</v>
      </c>
    </row>
    <row r="12" spans="1:7">
      <c r="A12" s="349">
        <v>5</v>
      </c>
      <c r="B12" s="353" t="s">
        <v>464</v>
      </c>
      <c r="C12" s="781">
        <v>3331246.7900000005</v>
      </c>
      <c r="D12" s="783">
        <v>555022.39</v>
      </c>
      <c r="E12" s="351">
        <v>0</v>
      </c>
      <c r="F12" s="351">
        <v>0</v>
      </c>
      <c r="G12" s="782">
        <v>3691955.7210000004</v>
      </c>
    </row>
    <row r="13" spans="1:7">
      <c r="A13" s="349">
        <v>6</v>
      </c>
      <c r="B13" s="353" t="s">
        <v>465</v>
      </c>
      <c r="C13" s="781">
        <v>94.09</v>
      </c>
      <c r="D13" s="783">
        <v>0</v>
      </c>
      <c r="E13" s="781">
        <v>0</v>
      </c>
      <c r="F13" s="781">
        <v>0</v>
      </c>
      <c r="G13" s="782">
        <v>47.045000000000002</v>
      </c>
    </row>
    <row r="14" spans="1:7">
      <c r="A14" s="349">
        <v>7</v>
      </c>
      <c r="B14" s="350" t="s">
        <v>466</v>
      </c>
      <c r="C14" s="781">
        <v>8928514.7618999984</v>
      </c>
      <c r="D14" s="781">
        <v>21593.8</v>
      </c>
      <c r="E14" s="781">
        <v>54114.794199999989</v>
      </c>
      <c r="F14" s="781">
        <v>0</v>
      </c>
      <c r="G14" s="782">
        <v>4313534.169999999</v>
      </c>
    </row>
    <row r="15" spans="1:7" ht="51.75">
      <c r="A15" s="349">
        <v>8</v>
      </c>
      <c r="B15" s="353" t="s">
        <v>467</v>
      </c>
      <c r="C15" s="781">
        <v>8596557.339999998</v>
      </c>
      <c r="D15" s="783">
        <v>21593.8</v>
      </c>
      <c r="E15" s="781">
        <v>8917.2000000000007</v>
      </c>
      <c r="F15" s="781">
        <v>0</v>
      </c>
      <c r="G15" s="782">
        <v>4313534.169999999</v>
      </c>
    </row>
    <row r="16" spans="1:7" ht="26.25">
      <c r="A16" s="349">
        <v>9</v>
      </c>
      <c r="B16" s="353" t="s">
        <v>468</v>
      </c>
      <c r="C16" s="781">
        <v>331957.42190000002</v>
      </c>
      <c r="D16" s="783">
        <v>0</v>
      </c>
      <c r="E16" s="781">
        <v>45197.594199999992</v>
      </c>
      <c r="F16" s="781">
        <v>0</v>
      </c>
      <c r="G16" s="782">
        <v>0</v>
      </c>
    </row>
    <row r="17" spans="1:7">
      <c r="A17" s="349">
        <v>10</v>
      </c>
      <c r="B17" s="350" t="s">
        <v>469</v>
      </c>
      <c r="C17" s="351"/>
      <c r="D17" s="355"/>
      <c r="E17" s="351"/>
      <c r="F17" s="351"/>
      <c r="G17" s="352">
        <v>0</v>
      </c>
    </row>
    <row r="18" spans="1:7">
      <c r="A18" s="349">
        <v>11</v>
      </c>
      <c r="B18" s="350" t="s">
        <v>89</v>
      </c>
      <c r="C18" s="781">
        <v>14325326.262799999</v>
      </c>
      <c r="D18" s="783">
        <v>675269.31419999991</v>
      </c>
      <c r="E18" s="781">
        <v>710466.05989999988</v>
      </c>
      <c r="F18" s="781">
        <v>390.64080000000001</v>
      </c>
      <c r="G18" s="352">
        <v>0</v>
      </c>
    </row>
    <row r="19" spans="1:7">
      <c r="A19" s="349">
        <v>12</v>
      </c>
      <c r="B19" s="353" t="s">
        <v>470</v>
      </c>
      <c r="C19" s="354"/>
      <c r="D19" s="355">
        <v>0</v>
      </c>
      <c r="E19" s="351">
        <v>0</v>
      </c>
      <c r="F19" s="351">
        <v>0</v>
      </c>
      <c r="G19" s="352">
        <v>0</v>
      </c>
    </row>
    <row r="20" spans="1:7" ht="26.25">
      <c r="A20" s="349">
        <v>13</v>
      </c>
      <c r="B20" s="353" t="s">
        <v>471</v>
      </c>
      <c r="C20" s="781">
        <v>14325326.262799999</v>
      </c>
      <c r="D20" s="781">
        <v>675269.31419999991</v>
      </c>
      <c r="E20" s="781">
        <v>710466.05989999988</v>
      </c>
      <c r="F20" s="781">
        <v>390.64080000000001</v>
      </c>
      <c r="G20" s="352">
        <v>0</v>
      </c>
    </row>
    <row r="21" spans="1:7">
      <c r="A21" s="356">
        <v>14</v>
      </c>
      <c r="B21" s="357" t="s">
        <v>472</v>
      </c>
      <c r="C21" s="354"/>
      <c r="D21" s="354"/>
      <c r="E21" s="354"/>
      <c r="F21" s="354"/>
      <c r="G21" s="358">
        <f>SUM(G8,G11,G14,G17,G18)</f>
        <v>414911803.85435456</v>
      </c>
    </row>
    <row r="22" spans="1:7">
      <c r="A22" s="359"/>
      <c r="B22" s="375" t="s">
        <v>473</v>
      </c>
      <c r="C22" s="360"/>
      <c r="D22" s="361"/>
      <c r="E22" s="360"/>
      <c r="F22" s="360"/>
      <c r="G22" s="362"/>
    </row>
    <row r="23" spans="1:7">
      <c r="A23" s="349">
        <v>15</v>
      </c>
      <c r="B23" s="350" t="s">
        <v>322</v>
      </c>
      <c r="C23" s="781">
        <v>170288834.33579999</v>
      </c>
      <c r="D23" s="783">
        <v>0</v>
      </c>
      <c r="E23" s="781">
        <v>0</v>
      </c>
      <c r="F23" s="781">
        <v>0</v>
      </c>
      <c r="G23" s="352">
        <v>0</v>
      </c>
    </row>
    <row r="24" spans="1:7">
      <c r="A24" s="349">
        <v>16</v>
      </c>
      <c r="B24" s="350" t="s">
        <v>474</v>
      </c>
      <c r="C24" s="781">
        <v>2145.5479849999997</v>
      </c>
      <c r="D24" s="783">
        <v>7344238.1295419997</v>
      </c>
      <c r="E24" s="781">
        <v>19262750.391204003</v>
      </c>
      <c r="F24" s="781">
        <v>43287696.341551028</v>
      </c>
      <c r="G24" s="352">
        <v>49313006.529168598</v>
      </c>
    </row>
    <row r="25" spans="1:7" ht="26.25">
      <c r="A25" s="349">
        <v>17</v>
      </c>
      <c r="B25" s="353" t="s">
        <v>475</v>
      </c>
      <c r="C25" s="351">
        <v>0</v>
      </c>
      <c r="D25" s="355">
        <v>0</v>
      </c>
      <c r="E25" s="351">
        <v>0</v>
      </c>
      <c r="F25" s="351">
        <v>0</v>
      </c>
      <c r="G25" s="352">
        <v>0</v>
      </c>
    </row>
    <row r="26" spans="1:7" ht="39">
      <c r="A26" s="349">
        <v>18</v>
      </c>
      <c r="B26" s="353" t="s">
        <v>476</v>
      </c>
      <c r="C26" s="781">
        <v>0</v>
      </c>
      <c r="D26" s="783">
        <v>0</v>
      </c>
      <c r="E26" s="781">
        <v>119430.4627</v>
      </c>
      <c r="F26" s="781">
        <v>325178.67734900001</v>
      </c>
      <c r="G26" s="782">
        <v>384893.90869900002</v>
      </c>
    </row>
    <row r="27" spans="1:7">
      <c r="A27" s="349">
        <v>19</v>
      </c>
      <c r="B27" s="353" t="s">
        <v>477</v>
      </c>
      <c r="C27" s="781">
        <v>2145.5479849999997</v>
      </c>
      <c r="D27" s="783">
        <v>7158022.7586909998</v>
      </c>
      <c r="E27" s="781">
        <v>18949996.069455005</v>
      </c>
      <c r="F27" s="781">
        <v>38788121.67861402</v>
      </c>
      <c r="G27" s="782">
        <v>46024985.614887401</v>
      </c>
    </row>
    <row r="28" spans="1:7">
      <c r="A28" s="349">
        <v>20</v>
      </c>
      <c r="B28" s="364" t="s">
        <v>478</v>
      </c>
      <c r="C28" s="781">
        <v>0</v>
      </c>
      <c r="D28" s="783">
        <v>0</v>
      </c>
      <c r="E28" s="781">
        <v>0</v>
      </c>
      <c r="F28" s="781">
        <v>0</v>
      </c>
      <c r="G28" s="782">
        <v>0</v>
      </c>
    </row>
    <row r="29" spans="1:7">
      <c r="A29" s="349">
        <v>21</v>
      </c>
      <c r="B29" s="353" t="s">
        <v>479</v>
      </c>
      <c r="C29" s="781">
        <v>0</v>
      </c>
      <c r="D29" s="783">
        <v>186215.37085100004</v>
      </c>
      <c r="E29" s="781">
        <v>193323.8590489999</v>
      </c>
      <c r="F29" s="781">
        <v>4174395.9855880067</v>
      </c>
      <c r="G29" s="782">
        <v>2903127.0055821976</v>
      </c>
    </row>
    <row r="30" spans="1:7">
      <c r="A30" s="349">
        <v>22</v>
      </c>
      <c r="B30" s="364" t="s">
        <v>478</v>
      </c>
      <c r="C30" s="781">
        <v>0</v>
      </c>
      <c r="D30" s="783">
        <v>186215.37085100004</v>
      </c>
      <c r="E30" s="781">
        <v>193323.8590489999</v>
      </c>
      <c r="F30" s="781">
        <v>4174395.9855880067</v>
      </c>
      <c r="G30" s="782">
        <v>2903127.0055821976</v>
      </c>
    </row>
    <row r="31" spans="1:7" ht="26.25">
      <c r="A31" s="349">
        <v>23</v>
      </c>
      <c r="B31" s="353" t="s">
        <v>480</v>
      </c>
      <c r="C31" s="781">
        <v>0</v>
      </c>
      <c r="D31" s="783">
        <v>0</v>
      </c>
      <c r="E31" s="781">
        <v>0</v>
      </c>
      <c r="F31" s="781">
        <v>0</v>
      </c>
      <c r="G31" s="782">
        <v>0</v>
      </c>
    </row>
    <row r="32" spans="1:7">
      <c r="A32" s="349">
        <v>24</v>
      </c>
      <c r="B32" s="350" t="s">
        <v>481</v>
      </c>
      <c r="C32" s="781">
        <v>0</v>
      </c>
      <c r="D32" s="783">
        <v>0</v>
      </c>
      <c r="E32" s="781">
        <v>0</v>
      </c>
      <c r="F32" s="781">
        <v>0</v>
      </c>
      <c r="G32" s="782">
        <v>0</v>
      </c>
    </row>
    <row r="33" spans="1:7">
      <c r="A33" s="349">
        <v>25</v>
      </c>
      <c r="B33" s="350" t="s">
        <v>99</v>
      </c>
      <c r="C33" s="781">
        <v>203471355.53820002</v>
      </c>
      <c r="D33" s="781">
        <v>219437.3</v>
      </c>
      <c r="E33" s="781">
        <v>5663077.5499999998</v>
      </c>
      <c r="F33" s="781">
        <v>226.35</v>
      </c>
      <c r="G33" s="352">
        <v>206359095.3132</v>
      </c>
    </row>
    <row r="34" spans="1:7">
      <c r="A34" s="349">
        <v>26</v>
      </c>
      <c r="B34" s="353" t="s">
        <v>482</v>
      </c>
      <c r="C34" s="354"/>
      <c r="D34" s="355">
        <v>0</v>
      </c>
      <c r="E34" s="351">
        <v>0</v>
      </c>
      <c r="F34" s="351">
        <v>0</v>
      </c>
      <c r="G34" s="352">
        <v>0</v>
      </c>
    </row>
    <row r="35" spans="1:7">
      <c r="A35" s="349">
        <v>27</v>
      </c>
      <c r="B35" s="353" t="s">
        <v>483</v>
      </c>
      <c r="C35" s="781">
        <v>203471355.53820002</v>
      </c>
      <c r="D35" s="783">
        <v>219437.3</v>
      </c>
      <c r="E35" s="781">
        <v>5663077.5499999998</v>
      </c>
      <c r="F35" s="781">
        <v>226.35</v>
      </c>
      <c r="G35" s="782">
        <v>206359095.3132</v>
      </c>
    </row>
    <row r="36" spans="1:7">
      <c r="A36" s="349">
        <v>28</v>
      </c>
      <c r="B36" s="350" t="s">
        <v>484</v>
      </c>
      <c r="C36" s="781">
        <v>0</v>
      </c>
      <c r="D36" s="783">
        <v>16247.526680000001</v>
      </c>
      <c r="E36" s="781">
        <v>0</v>
      </c>
      <c r="F36" s="781">
        <v>200000</v>
      </c>
      <c r="G36" s="782">
        <v>31624.752668000001</v>
      </c>
    </row>
    <row r="37" spans="1:7">
      <c r="A37" s="356">
        <v>29</v>
      </c>
      <c r="B37" s="357" t="s">
        <v>485</v>
      </c>
      <c r="C37" s="354"/>
      <c r="D37" s="354"/>
      <c r="E37" s="354"/>
      <c r="F37" s="354"/>
      <c r="G37" s="358">
        <f>SUM(G23:G24,G32:G33,G36)</f>
        <v>255703726.5950366</v>
      </c>
    </row>
    <row r="38" spans="1:7">
      <c r="A38" s="345"/>
      <c r="B38" s="365"/>
      <c r="C38" s="366"/>
      <c r="D38" s="366"/>
      <c r="E38" s="366"/>
      <c r="F38" s="366"/>
      <c r="G38" s="367"/>
    </row>
    <row r="39" spans="1:7" ht="15.75" thickBot="1">
      <c r="A39" s="368">
        <v>30</v>
      </c>
      <c r="B39" s="369" t="s">
        <v>453</v>
      </c>
      <c r="C39" s="236"/>
      <c r="D39" s="218"/>
      <c r="E39" s="218"/>
      <c r="F39" s="370"/>
      <c r="G39" s="371">
        <f>IFERROR(G21/G37,0)</f>
        <v>1.6226271293709347</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71"/>
  <sheetViews>
    <sheetView zoomScale="85" zoomScaleNormal="85" workbookViewId="0">
      <pane xSplit="1" ySplit="5" topLeftCell="B15" activePane="bottomRight" state="frozen"/>
      <selection pane="topRight" activeCell="B1" sqref="B1"/>
      <selection pane="bottomLeft" activeCell="A6" sqref="A6"/>
      <selection pane="bottomRight" activeCell="C38" sqref="C38"/>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10" width="12.28515625" hidden="1" customWidth="1"/>
    <col min="11" max="11" width="6.7109375" customWidth="1"/>
  </cols>
  <sheetData>
    <row r="1" spans="1:11">
      <c r="A1" s="17" t="s">
        <v>108</v>
      </c>
      <c r="B1" s="306" t="str">
        <f>Info!C2</f>
        <v>JSC "VTB Bank (Georgia)"</v>
      </c>
    </row>
    <row r="2" spans="1:11">
      <c r="A2" s="17" t="s">
        <v>109</v>
      </c>
      <c r="B2" s="337">
        <f>Info!D2</f>
        <v>45657</v>
      </c>
      <c r="C2" s="29"/>
      <c r="D2" s="18"/>
      <c r="E2" s="18"/>
      <c r="F2" s="18"/>
      <c r="G2" s="18"/>
      <c r="H2" s="1"/>
    </row>
    <row r="3" spans="1:11" ht="16.5" thickBot="1">
      <c r="A3" s="17"/>
      <c r="C3" s="29"/>
      <c r="D3" s="18"/>
      <c r="E3" s="18"/>
      <c r="F3" s="18"/>
      <c r="G3" s="18"/>
      <c r="H3" s="1"/>
    </row>
    <row r="4" spans="1:11" ht="69" customHeight="1" thickBot="1">
      <c r="A4" s="39" t="s">
        <v>252</v>
      </c>
      <c r="B4" s="150" t="s">
        <v>139</v>
      </c>
      <c r="C4" s="151"/>
      <c r="D4" s="803" t="s">
        <v>936</v>
      </c>
      <c r="E4" s="804"/>
      <c r="F4" s="804"/>
      <c r="G4" s="805"/>
      <c r="H4" s="1"/>
      <c r="J4" s="784"/>
      <c r="K4" s="455"/>
    </row>
    <row r="5" spans="1:11" ht="15">
      <c r="A5" s="204" t="s">
        <v>25</v>
      </c>
      <c r="B5" s="205"/>
      <c r="C5" s="327" t="str">
        <f>INT((MONTH($B$2))/3)&amp;"Q"&amp;"-"&amp;YEAR($B$2)</f>
        <v>4Q-2024</v>
      </c>
      <c r="D5" s="327" t="str">
        <f>IF(INT(MONTH($B$2))=3, "4"&amp;"Q"&amp;"-"&amp;YEAR($B$2)-1, IF(INT(MONTH($B$2))=6, "1"&amp;"Q"&amp;"-"&amp;YEAR($B$2), IF(INT(MONTH($B$2))=9, "2"&amp;"Q"&amp;"-"&amp;YEAR($B$2),IF(INT(MONTH($B$2))=12, "3"&amp;"Q"&amp;"-"&amp;YEAR($B$2), 0))))</f>
        <v>3Q-2024</v>
      </c>
      <c r="E5" s="327" t="str">
        <f>IF(INT(MONTH($B$2))=3, "3"&amp;"Q"&amp;"-"&amp;YEAR($B$2)-1, IF(INT(MONTH($B$2))=6, "4"&amp;"Q"&amp;"-"&amp;YEAR($B$2)-1, IF(INT(MONTH($B$2))=9, "1"&amp;"Q"&amp;"-"&amp;YEAR($B$2),IF(INT(MONTH($B$2))=12, "2"&amp;"Q"&amp;"-"&amp;YEAR($B$2), 0))))</f>
        <v>2Q-2024</v>
      </c>
      <c r="F5" s="327" t="str">
        <f>IF(INT(MONTH($B$2))=3, "2"&amp;"Q"&amp;"-"&amp;YEAR($B$2)-1, IF(INT(MONTH($B$2))=6, "3"&amp;"Q"&amp;"-"&amp;YEAR($B$2)-1, IF(INT(MONTH($B$2))=9, "4"&amp;"Q"&amp;"-"&amp;YEAR($B$2)-1,IF(INT(MONTH($B$2))=12, "1"&amp;"Q"&amp;"-"&amp;YEAR($B$2), 0))))</f>
        <v>1Q-2024</v>
      </c>
      <c r="G5" s="328" t="str">
        <f>IF(INT(MONTH($B$2))=3, "1"&amp;"Q"&amp;"-"&amp;YEAR($B$2)-1, IF(INT(MONTH($B$2))=6, "2"&amp;"Q"&amp;"-"&amp;YEAR($B$2)-1, IF(INT(MONTH($B$2))=9, "3"&amp;"Q"&amp;"-"&amp;YEAR($B$2)-1,IF(INT(MONTH($B$2))=12, "4"&amp;"Q"&amp;"-"&amp;YEAR($B$2)-1, 0))))</f>
        <v>4Q-2023</v>
      </c>
      <c r="I5" s="615" t="str">
        <f>D5</f>
        <v>3Q-2024</v>
      </c>
      <c r="J5" s="327" t="str">
        <f t="shared" ref="J5" si="0">E5</f>
        <v>2Q-2024</v>
      </c>
    </row>
    <row r="6" spans="1:11" ht="15">
      <c r="A6" s="329"/>
      <c r="B6" s="330" t="s">
        <v>106</v>
      </c>
      <c r="C6" s="206"/>
      <c r="D6" s="206"/>
      <c r="E6" s="206"/>
      <c r="F6" s="206"/>
      <c r="G6" s="207"/>
      <c r="I6" s="616"/>
      <c r="J6" s="206"/>
    </row>
    <row r="7" spans="1:11" ht="15">
      <c r="A7" s="329"/>
      <c r="B7" s="331" t="s">
        <v>110</v>
      </c>
      <c r="C7" s="206"/>
      <c r="D7" s="206"/>
      <c r="E7" s="206"/>
      <c r="F7" s="206"/>
      <c r="G7" s="207"/>
      <c r="I7" s="616"/>
      <c r="J7" s="206"/>
    </row>
    <row r="8" spans="1:11" ht="15">
      <c r="A8" s="311">
        <v>1</v>
      </c>
      <c r="B8" s="312" t="s">
        <v>22</v>
      </c>
      <c r="C8" s="688">
        <v>273905730.98415458</v>
      </c>
      <c r="D8" s="688">
        <v>261844574.34</v>
      </c>
      <c r="E8" s="688">
        <v>247437189.92262694</v>
      </c>
      <c r="F8" s="688">
        <v>263088107.66896904</v>
      </c>
      <c r="G8" s="688">
        <v>261350407.10290265</v>
      </c>
      <c r="H8" s="679"/>
      <c r="I8" s="688"/>
      <c r="J8" s="688"/>
    </row>
    <row r="9" spans="1:11" ht="15">
      <c r="A9" s="311">
        <v>2</v>
      </c>
      <c r="B9" s="312" t="s">
        <v>86</v>
      </c>
      <c r="C9" s="688">
        <v>317094230.98415458</v>
      </c>
      <c r="D9" s="688">
        <v>311822874.34000003</v>
      </c>
      <c r="E9" s="688">
        <v>303591589.92262697</v>
      </c>
      <c r="F9" s="688">
        <v>312576807.66896904</v>
      </c>
      <c r="G9" s="688">
        <v>312207607.10290265</v>
      </c>
      <c r="H9" s="679"/>
      <c r="I9" s="688"/>
      <c r="J9" s="688"/>
    </row>
    <row r="10" spans="1:11" ht="15">
      <c r="A10" s="311">
        <v>3</v>
      </c>
      <c r="B10" s="312" t="s">
        <v>85</v>
      </c>
      <c r="C10" s="688">
        <v>359173851.78691459</v>
      </c>
      <c r="D10" s="688">
        <v>372799961.66676003</v>
      </c>
      <c r="E10" s="688">
        <v>377369223.82524699</v>
      </c>
      <c r="F10" s="688">
        <v>376237383.32272905</v>
      </c>
      <c r="G10" s="688">
        <v>376230252.30290264</v>
      </c>
      <c r="H10" s="679"/>
      <c r="I10" s="688"/>
      <c r="J10" s="688"/>
    </row>
    <row r="11" spans="1:11" ht="15">
      <c r="A11" s="311">
        <v>4</v>
      </c>
      <c r="B11" s="312" t="s">
        <v>445</v>
      </c>
      <c r="C11" s="688">
        <v>123009203.22464246</v>
      </c>
      <c r="D11" s="688">
        <v>126379579.22092749</v>
      </c>
      <c r="E11" s="688">
        <v>127023445.01725176</v>
      </c>
      <c r="F11" s="688">
        <v>123740282.60855596</v>
      </c>
      <c r="G11" s="688">
        <v>117804821.99894096</v>
      </c>
      <c r="H11" s="679"/>
      <c r="I11" s="688"/>
      <c r="J11" s="688"/>
    </row>
    <row r="12" spans="1:11" ht="15">
      <c r="A12" s="311">
        <v>5</v>
      </c>
      <c r="B12" s="312" t="s">
        <v>446</v>
      </c>
      <c r="C12" s="688">
        <v>139125474.54113606</v>
      </c>
      <c r="D12" s="688">
        <v>143758813.82397807</v>
      </c>
      <c r="E12" s="688">
        <v>144772864.26428571</v>
      </c>
      <c r="F12" s="688">
        <v>141011028.44011056</v>
      </c>
      <c r="G12" s="688">
        <v>135106224.50536209</v>
      </c>
      <c r="H12" s="679"/>
      <c r="I12" s="688"/>
      <c r="J12" s="688"/>
    </row>
    <row r="13" spans="1:11" ht="15">
      <c r="A13" s="311">
        <v>6</v>
      </c>
      <c r="B13" s="312" t="s">
        <v>447</v>
      </c>
      <c r="C13" s="688">
        <v>160472755.19855791</v>
      </c>
      <c r="D13" s="688">
        <v>166780075.28750151</v>
      </c>
      <c r="E13" s="688">
        <v>168284008.10138208</v>
      </c>
      <c r="F13" s="688">
        <v>163888693.74453959</v>
      </c>
      <c r="G13" s="688">
        <v>158025134.33730406</v>
      </c>
      <c r="H13" s="679"/>
      <c r="I13" s="688"/>
      <c r="J13" s="688"/>
    </row>
    <row r="14" spans="1:11" ht="15">
      <c r="A14" s="329"/>
      <c r="B14" s="330" t="s">
        <v>449</v>
      </c>
      <c r="C14" s="682"/>
      <c r="D14" s="682"/>
      <c r="E14" s="682"/>
      <c r="F14" s="682"/>
      <c r="G14" s="682"/>
      <c r="H14" s="679"/>
      <c r="I14" s="682"/>
      <c r="J14" s="682"/>
    </row>
    <row r="15" spans="1:11" ht="22.35" customHeight="1">
      <c r="A15" s="311">
        <v>7</v>
      </c>
      <c r="B15" s="312" t="s">
        <v>448</v>
      </c>
      <c r="C15" s="689">
        <v>538309915.73493481</v>
      </c>
      <c r="D15" s="689">
        <v>584620546.1363045</v>
      </c>
      <c r="E15" s="689">
        <v>595250345.79651475</v>
      </c>
      <c r="F15" s="689">
        <v>581398999.05699706</v>
      </c>
      <c r="G15" s="689">
        <v>584844829.27359998</v>
      </c>
      <c r="H15" s="679"/>
      <c r="I15" s="689"/>
      <c r="J15" s="689"/>
    </row>
    <row r="16" spans="1:11" ht="15">
      <c r="A16" s="329"/>
      <c r="B16" s="330" t="s">
        <v>452</v>
      </c>
      <c r="C16" s="682"/>
      <c r="D16" s="682"/>
      <c r="E16" s="682"/>
      <c r="F16" s="682"/>
      <c r="G16" s="682"/>
      <c r="H16" s="679"/>
      <c r="I16" s="682"/>
      <c r="J16" s="682"/>
    </row>
    <row r="17" spans="1:10" s="3" customFormat="1" ht="15">
      <c r="A17" s="311"/>
      <c r="B17" s="331" t="s">
        <v>435</v>
      </c>
      <c r="C17" s="682"/>
      <c r="D17" s="682"/>
      <c r="E17" s="682"/>
      <c r="F17" s="682"/>
      <c r="G17" s="682"/>
      <c r="H17" s="680"/>
      <c r="I17" s="682"/>
      <c r="J17" s="682"/>
    </row>
    <row r="18" spans="1:10" ht="15">
      <c r="A18" s="310">
        <v>8</v>
      </c>
      <c r="B18" s="332" t="s">
        <v>443</v>
      </c>
      <c r="C18" s="690">
        <f>C8/$C$15</f>
        <v>0.50882534944614777</v>
      </c>
      <c r="D18" s="690">
        <f>D8/$C$15</f>
        <v>0.48641974945327393</v>
      </c>
      <c r="E18" s="690">
        <f>E8/$C$15</f>
        <v>0.45965564201954184</v>
      </c>
      <c r="F18" s="690">
        <v>0.45250870416991784</v>
      </c>
      <c r="G18" s="690">
        <v>0.44687136488410101</v>
      </c>
      <c r="H18" s="679"/>
      <c r="I18" s="690"/>
      <c r="J18" s="690"/>
    </row>
    <row r="19" spans="1:10" ht="15" customHeight="1">
      <c r="A19" s="310">
        <v>9</v>
      </c>
      <c r="B19" s="332" t="s">
        <v>442</v>
      </c>
      <c r="C19" s="690">
        <f t="shared" ref="C19:E22" si="1">C9/$C$15</f>
        <v>0.58905515524683849</v>
      </c>
      <c r="D19" s="690">
        <f t="shared" si="1"/>
        <v>0.57926273550855867</v>
      </c>
      <c r="E19" s="690">
        <f t="shared" si="1"/>
        <v>0.56397175873705485</v>
      </c>
      <c r="F19" s="690">
        <v>0.53762873375419373</v>
      </c>
      <c r="G19" s="690">
        <v>0.53382981515058725</v>
      </c>
      <c r="H19" s="679"/>
      <c r="I19" s="690"/>
      <c r="J19" s="690"/>
    </row>
    <row r="20" spans="1:10" ht="15">
      <c r="A20" s="310">
        <v>10</v>
      </c>
      <c r="B20" s="332" t="s">
        <v>444</v>
      </c>
      <c r="C20" s="690">
        <f t="shared" si="1"/>
        <v>0.66722503392222987</v>
      </c>
      <c r="D20" s="690">
        <f t="shared" si="1"/>
        <v>0.69253779425145812</v>
      </c>
      <c r="E20" s="690">
        <f t="shared" si="1"/>
        <v>0.7010259569713454</v>
      </c>
      <c r="F20" s="690">
        <v>0.64712423642450212</v>
      </c>
      <c r="G20" s="690">
        <v>0.64329927097106299</v>
      </c>
      <c r="H20" s="679"/>
      <c r="I20" s="690"/>
      <c r="J20" s="690"/>
    </row>
    <row r="21" spans="1:10" ht="15">
      <c r="A21" s="310">
        <v>11</v>
      </c>
      <c r="B21" s="312" t="s">
        <v>445</v>
      </c>
      <c r="C21" s="690">
        <f t="shared" si="1"/>
        <v>0.22851000813667438</v>
      </c>
      <c r="D21" s="690">
        <f t="shared" si="1"/>
        <v>0.23477104085735831</v>
      </c>
      <c r="E21" s="690">
        <f t="shared" si="1"/>
        <v>0.23596712842235371</v>
      </c>
      <c r="F21" s="690">
        <v>0.21283194984727719</v>
      </c>
      <c r="G21" s="690">
        <v>0.20142919301391299</v>
      </c>
      <c r="H21" s="679"/>
      <c r="I21" s="690"/>
      <c r="J21" s="690"/>
    </row>
    <row r="22" spans="1:10" ht="15">
      <c r="A22" s="310">
        <v>12</v>
      </c>
      <c r="B22" s="312" t="s">
        <v>446</v>
      </c>
      <c r="C22" s="690">
        <f t="shared" si="1"/>
        <v>0.25844865657210336</v>
      </c>
      <c r="D22" s="690">
        <f t="shared" si="1"/>
        <v>0.26705585318395897</v>
      </c>
      <c r="E22" s="690">
        <f t="shared" si="1"/>
        <v>0.26893962015660183</v>
      </c>
      <c r="F22" s="690">
        <v>0.24253744617521544</v>
      </c>
      <c r="G22" s="690">
        <v>0.23101208686955355</v>
      </c>
      <c r="H22" s="679"/>
      <c r="I22" s="690"/>
      <c r="J22" s="690"/>
    </row>
    <row r="23" spans="1:10" ht="15">
      <c r="A23" s="310">
        <v>13</v>
      </c>
      <c r="B23" s="312" t="s">
        <v>447</v>
      </c>
      <c r="C23" s="690">
        <f>C13/$C$15</f>
        <v>0.29810477293450993</v>
      </c>
      <c r="D23" s="690">
        <f>D13/$C$15</f>
        <v>0.30982166668767896</v>
      </c>
      <c r="E23" s="690">
        <f>E13/$C$15</f>
        <v>0.31261547146429597</v>
      </c>
      <c r="F23" s="690">
        <v>0.28188678344881857</v>
      </c>
      <c r="G23" s="690">
        <v>0.27020010510065962</v>
      </c>
      <c r="H23" s="679"/>
      <c r="I23" s="690"/>
      <c r="J23" s="690"/>
    </row>
    <row r="24" spans="1:10" ht="15">
      <c r="A24" s="329"/>
      <c r="B24" s="330" t="s">
        <v>6</v>
      </c>
      <c r="C24" s="684"/>
      <c r="D24" s="684"/>
      <c r="E24" s="684"/>
      <c r="F24" s="684"/>
      <c r="G24" s="684"/>
      <c r="H24" s="679"/>
      <c r="I24" s="684"/>
      <c r="J24" s="684"/>
    </row>
    <row r="25" spans="1:10" ht="15" customHeight="1">
      <c r="A25" s="333">
        <v>14</v>
      </c>
      <c r="B25" s="334" t="s">
        <v>7</v>
      </c>
      <c r="C25" s="691">
        <v>3.6875423555608293E-2</v>
      </c>
      <c r="D25" s="691">
        <v>3.7653832321756439E-2</v>
      </c>
      <c r="E25" s="691">
        <v>3.8195373702473369E-2</v>
      </c>
      <c r="F25" s="691">
        <v>3.8681533096585681E-2</v>
      </c>
      <c r="G25" s="691">
        <v>4.6241633862009746E-2</v>
      </c>
      <c r="H25" s="679"/>
      <c r="I25" s="691"/>
      <c r="J25" s="691"/>
    </row>
    <row r="26" spans="1:10" ht="15">
      <c r="A26" s="333">
        <v>15</v>
      </c>
      <c r="B26" s="334" t="s">
        <v>8</v>
      </c>
      <c r="C26" s="691">
        <v>2.0305401662221289E-2</v>
      </c>
      <c r="D26" s="691">
        <v>2.0960224051435192E-2</v>
      </c>
      <c r="E26" s="691">
        <v>2.0980598725081227E-2</v>
      </c>
      <c r="F26" s="691">
        <v>2.0416417135360448E-2</v>
      </c>
      <c r="G26" s="691">
        <v>2.1731624257532282E-2</v>
      </c>
      <c r="H26" s="679"/>
      <c r="I26" s="691"/>
      <c r="J26" s="691"/>
    </row>
    <row r="27" spans="1:10" ht="15">
      <c r="A27" s="333">
        <v>16</v>
      </c>
      <c r="B27" s="334" t="s">
        <v>9</v>
      </c>
      <c r="C27" s="691">
        <v>-3.8225641395707333E-2</v>
      </c>
      <c r="D27" s="691">
        <v>-5.0625280536869509E-3</v>
      </c>
      <c r="E27" s="691">
        <v>3.1498846802302825E-2</v>
      </c>
      <c r="F27" s="691">
        <v>3.5689587091770314E-3</v>
      </c>
      <c r="G27" s="691">
        <v>8.2191592824971543E-3</v>
      </c>
      <c r="H27" s="679"/>
      <c r="I27" s="691"/>
      <c r="J27" s="691"/>
    </row>
    <row r="28" spans="1:10" ht="15">
      <c r="A28" s="333">
        <v>17</v>
      </c>
      <c r="B28" s="334" t="s">
        <v>140</v>
      </c>
      <c r="C28" s="691">
        <v>1.6570021893387004E-2</v>
      </c>
      <c r="D28" s="691">
        <v>1.6693608270321247E-2</v>
      </c>
      <c r="E28" s="691">
        <v>1.7214774977392145E-2</v>
      </c>
      <c r="F28" s="691">
        <v>1.8265115961225233E-2</v>
      </c>
      <c r="G28" s="691">
        <v>2.451000960447746E-2</v>
      </c>
      <c r="H28" s="679"/>
      <c r="I28" s="691"/>
      <c r="J28" s="691"/>
    </row>
    <row r="29" spans="1:10" ht="15">
      <c r="A29" s="333">
        <v>18</v>
      </c>
      <c r="B29" s="334" t="s">
        <v>10</v>
      </c>
      <c r="C29" s="691">
        <v>2.0577830953774003E-2</v>
      </c>
      <c r="D29" s="691">
        <v>-1.2986292849792808E-3</v>
      </c>
      <c r="E29" s="691">
        <v>-3.7723320755885741E-2</v>
      </c>
      <c r="F29" s="691">
        <v>4.0758985961543851E-3</v>
      </c>
      <c r="G29" s="691">
        <v>8.1470464237923322E-5</v>
      </c>
      <c r="H29" s="679"/>
      <c r="I29" s="691"/>
      <c r="J29" s="691"/>
    </row>
    <row r="30" spans="1:10" ht="15">
      <c r="A30" s="333">
        <v>19</v>
      </c>
      <c r="B30" s="334" t="s">
        <v>11</v>
      </c>
      <c r="C30" s="691">
        <v>2.8894368932893936E-2</v>
      </c>
      <c r="D30" s="691">
        <v>-1.837508261185187E-3</v>
      </c>
      <c r="E30" s="691">
        <v>-5.3260346493588864E-2</v>
      </c>
      <c r="F30" s="691">
        <v>5.701782569374308E-3</v>
      </c>
      <c r="G30" s="691">
        <v>1.1608460485498054E-4</v>
      </c>
      <c r="H30" s="679"/>
      <c r="I30" s="691"/>
      <c r="J30" s="691"/>
    </row>
    <row r="31" spans="1:10" ht="15">
      <c r="A31" s="329"/>
      <c r="B31" s="330" t="s">
        <v>12</v>
      </c>
      <c r="C31" s="684"/>
      <c r="D31" s="684"/>
      <c r="E31" s="684"/>
      <c r="F31" s="684"/>
      <c r="G31" s="684"/>
      <c r="H31" s="679"/>
      <c r="I31" s="684"/>
      <c r="J31" s="684"/>
    </row>
    <row r="32" spans="1:10" ht="15">
      <c r="A32" s="333">
        <v>20</v>
      </c>
      <c r="B32" s="334" t="s">
        <v>13</v>
      </c>
      <c r="C32" s="691">
        <v>0.59976146999008251</v>
      </c>
      <c r="D32" s="691">
        <v>0.57101272130798897</v>
      </c>
      <c r="E32" s="691">
        <v>0.4763152265256273</v>
      </c>
      <c r="F32" s="691">
        <v>0.27112451671875198</v>
      </c>
      <c r="G32" s="691">
        <v>0.27366792338315526</v>
      </c>
      <c r="H32" s="679"/>
      <c r="I32" s="691"/>
      <c r="J32" s="691"/>
    </row>
    <row r="33" spans="1:10" ht="15" customHeight="1">
      <c r="A33" s="333">
        <v>21</v>
      </c>
      <c r="B33" s="334" t="s">
        <v>957</v>
      </c>
      <c r="C33" s="691">
        <v>0.11935570888038549</v>
      </c>
      <c r="D33" s="691">
        <v>8.6704743945984736E-2</v>
      </c>
      <c r="E33" s="691">
        <v>7.7283199429053415E-2</v>
      </c>
      <c r="F33" s="691">
        <v>6.9796117162092372E-2</v>
      </c>
      <c r="G33" s="691">
        <v>7.0654042654676313E-2</v>
      </c>
      <c r="H33" s="679"/>
      <c r="I33" s="691"/>
      <c r="J33" s="691"/>
    </row>
    <row r="34" spans="1:10" ht="15">
      <c r="A34" s="333">
        <v>22</v>
      </c>
      <c r="B34" s="334" t="s">
        <v>14</v>
      </c>
      <c r="C34" s="691">
        <v>0.6207562066979373</v>
      </c>
      <c r="D34" s="691">
        <v>0.61976173574193572</v>
      </c>
      <c r="E34" s="691">
        <v>0.60762270924449058</v>
      </c>
      <c r="F34" s="691">
        <v>0.59750860214073431</v>
      </c>
      <c r="G34" s="691">
        <v>0.59500742654462468</v>
      </c>
      <c r="H34" s="679"/>
      <c r="I34" s="691"/>
      <c r="J34" s="691"/>
    </row>
    <row r="35" spans="1:10" ht="15" customHeight="1">
      <c r="A35" s="333">
        <v>23</v>
      </c>
      <c r="B35" s="334" t="s">
        <v>15</v>
      </c>
      <c r="C35" s="691">
        <v>0.43992230030589075</v>
      </c>
      <c r="D35" s="691">
        <v>0.43253312969769658</v>
      </c>
      <c r="E35" s="691">
        <v>0.43284324486207082</v>
      </c>
      <c r="F35" s="691">
        <v>0.4180559286617066</v>
      </c>
      <c r="G35" s="691">
        <v>0.41614500534261689</v>
      </c>
      <c r="H35" s="679"/>
      <c r="I35" s="691"/>
      <c r="J35" s="691"/>
    </row>
    <row r="36" spans="1:10" ht="15">
      <c r="A36" s="333">
        <v>24</v>
      </c>
      <c r="B36" s="334" t="s">
        <v>16</v>
      </c>
      <c r="C36" s="691">
        <v>-7.3328480456393272E-2</v>
      </c>
      <c r="D36" s="691">
        <v>-6.168703645023333E-2</v>
      </c>
      <c r="E36" s="691">
        <v>4.4038192866709619E-3</v>
      </c>
      <c r="F36" s="691">
        <v>-1.6822288755374504E-2</v>
      </c>
      <c r="G36" s="691">
        <v>-0.20973774215393315</v>
      </c>
      <c r="H36" s="679"/>
      <c r="I36" s="691"/>
      <c r="J36" s="691"/>
    </row>
    <row r="37" spans="1:10" ht="15" customHeight="1">
      <c r="A37" s="329"/>
      <c r="B37" s="330" t="s">
        <v>17</v>
      </c>
      <c r="C37" s="684"/>
      <c r="D37" s="684"/>
      <c r="E37" s="684"/>
      <c r="F37" s="684"/>
      <c r="G37" s="684"/>
      <c r="H37" s="679"/>
      <c r="I37" s="684"/>
      <c r="J37" s="684"/>
    </row>
    <row r="38" spans="1:10" ht="15" customHeight="1">
      <c r="A38" s="333">
        <v>25</v>
      </c>
      <c r="B38" s="334" t="s">
        <v>18</v>
      </c>
      <c r="C38" s="691">
        <v>0.36246380437126119</v>
      </c>
      <c r="D38" s="691">
        <v>0.34233655635928922</v>
      </c>
      <c r="E38" s="691">
        <v>0.3274314287271935</v>
      </c>
      <c r="F38" s="691">
        <v>0.32828755971221607</v>
      </c>
      <c r="G38" s="691">
        <v>0.31676400967057627</v>
      </c>
      <c r="H38" s="679"/>
      <c r="I38" s="691"/>
      <c r="J38" s="691"/>
    </row>
    <row r="39" spans="1:10" ht="15" customHeight="1">
      <c r="A39" s="333">
        <v>26</v>
      </c>
      <c r="B39" s="334" t="s">
        <v>19</v>
      </c>
      <c r="C39" s="691">
        <v>0.86791951088615282</v>
      </c>
      <c r="D39" s="691">
        <v>0.87100707822770651</v>
      </c>
      <c r="E39" s="691">
        <v>0.87738219486866365</v>
      </c>
      <c r="F39" s="691">
        <v>0.8603752423587433</v>
      </c>
      <c r="G39" s="691">
        <v>0.86105729834233424</v>
      </c>
      <c r="H39" s="679"/>
      <c r="I39" s="691"/>
      <c r="J39" s="691"/>
    </row>
    <row r="40" spans="1:10" ht="15" customHeight="1">
      <c r="A40" s="333">
        <v>27</v>
      </c>
      <c r="B40" s="335" t="s">
        <v>20</v>
      </c>
      <c r="C40" s="691">
        <v>2.6561991023921795E-2</v>
      </c>
      <c r="D40" s="691">
        <v>2.8886941628156096E-2</v>
      </c>
      <c r="E40" s="691">
        <v>2.9487076829897204E-2</v>
      </c>
      <c r="F40" s="691">
        <v>3.007165084446951E-2</v>
      </c>
      <c r="G40" s="691">
        <v>2.9832046425597312E-2</v>
      </c>
      <c r="H40" s="679"/>
      <c r="I40" s="691"/>
      <c r="J40" s="691"/>
    </row>
    <row r="41" spans="1:10" ht="15" customHeight="1">
      <c r="A41" s="336"/>
      <c r="B41" s="330" t="s">
        <v>356</v>
      </c>
      <c r="C41" s="684"/>
      <c r="D41" s="684"/>
      <c r="E41" s="684"/>
      <c r="F41" s="684"/>
      <c r="G41" s="684"/>
      <c r="H41" s="679"/>
      <c r="I41" s="684"/>
      <c r="J41" s="684"/>
    </row>
    <row r="42" spans="1:10" ht="15" customHeight="1">
      <c r="A42" s="333">
        <v>28</v>
      </c>
      <c r="B42" s="374" t="s">
        <v>340</v>
      </c>
      <c r="C42" s="692">
        <v>167752690.86499998</v>
      </c>
      <c r="D42" s="692">
        <v>164414703.24720001</v>
      </c>
      <c r="E42" s="692">
        <v>153604027.46289998</v>
      </c>
      <c r="F42" s="692">
        <v>149026336.69</v>
      </c>
      <c r="G42" s="692">
        <v>144171681.20429999</v>
      </c>
      <c r="H42" s="679"/>
      <c r="I42" s="692"/>
      <c r="J42" s="692"/>
    </row>
    <row r="43" spans="1:10" ht="15">
      <c r="A43" s="333">
        <v>29</v>
      </c>
      <c r="B43" s="334" t="s">
        <v>341</v>
      </c>
      <c r="C43" s="692">
        <v>19768803.225148078</v>
      </c>
      <c r="D43" s="692">
        <v>24265320.006339312</v>
      </c>
      <c r="E43" s="692">
        <v>20478587.869728357</v>
      </c>
      <c r="F43" s="692">
        <v>22711496.467702851</v>
      </c>
      <c r="G43" s="692">
        <v>22832231.128789958</v>
      </c>
      <c r="H43" s="679"/>
      <c r="I43" s="692"/>
      <c r="J43" s="692"/>
    </row>
    <row r="44" spans="1:10" ht="15">
      <c r="A44" s="372">
        <v>30</v>
      </c>
      <c r="B44" s="373" t="s">
        <v>339</v>
      </c>
      <c r="C44" s="691">
        <f>C42/C43</f>
        <v>8.4857281927719441</v>
      </c>
      <c r="D44" s="691">
        <f>D42/D43</f>
        <v>6.77570719051909</v>
      </c>
      <c r="E44" s="691">
        <v>7.5007138402330424</v>
      </c>
      <c r="F44" s="691">
        <v>6.5617136634710373</v>
      </c>
      <c r="G44" s="691">
        <v>6.3143930346127615</v>
      </c>
      <c r="H44" s="679"/>
      <c r="I44" s="691"/>
      <c r="J44" s="691"/>
    </row>
    <row r="45" spans="1:10" ht="15">
      <c r="A45" s="372"/>
      <c r="B45" s="330" t="s">
        <v>453</v>
      </c>
      <c r="C45" s="684"/>
      <c r="D45" s="684"/>
      <c r="E45" s="684"/>
      <c r="F45" s="684"/>
      <c r="G45" s="684"/>
      <c r="H45" s="679"/>
      <c r="I45" s="684"/>
      <c r="J45" s="684"/>
    </row>
    <row r="46" spans="1:10" ht="15">
      <c r="A46" s="372">
        <v>31</v>
      </c>
      <c r="B46" s="373" t="s">
        <v>460</v>
      </c>
      <c r="C46" s="687">
        <v>414911803.85435462</v>
      </c>
      <c r="D46" s="687">
        <v>420864835.86790001</v>
      </c>
      <c r="E46" s="687">
        <v>423963656.05232698</v>
      </c>
      <c r="F46" s="687">
        <v>417625095.31626904</v>
      </c>
      <c r="G46" s="687">
        <v>419370124.83249998</v>
      </c>
      <c r="H46" s="679"/>
      <c r="I46" s="687"/>
      <c r="J46" s="687"/>
    </row>
    <row r="47" spans="1:10" ht="15">
      <c r="A47" s="372">
        <v>32</v>
      </c>
      <c r="B47" s="373" t="s">
        <v>473</v>
      </c>
      <c r="C47" s="687">
        <v>255703727.10201162</v>
      </c>
      <c r="D47" s="687">
        <v>265389534.78531218</v>
      </c>
      <c r="E47" s="687">
        <v>274656241.39402753</v>
      </c>
      <c r="F47" s="687">
        <v>274073874.14183408</v>
      </c>
      <c r="G47" s="687">
        <v>276107215.12015742</v>
      </c>
      <c r="H47" s="679"/>
      <c r="I47" s="687"/>
      <c r="J47" s="687"/>
    </row>
    <row r="48" spans="1:10" thickBot="1">
      <c r="A48" s="83">
        <v>33</v>
      </c>
      <c r="B48" s="170" t="s">
        <v>487</v>
      </c>
      <c r="C48" s="700">
        <f>C46/C47</f>
        <v>1.6226271261538077</v>
      </c>
      <c r="D48" s="700">
        <f>D46/D47</f>
        <v>1.5858381009950531</v>
      </c>
      <c r="E48" s="700">
        <v>1.5436155898023083</v>
      </c>
      <c r="F48" s="700">
        <v>1.5237683512298101</v>
      </c>
      <c r="G48" s="700">
        <v>1.5188669540924413</v>
      </c>
      <c r="H48" s="679"/>
      <c r="I48" s="700"/>
      <c r="J48" s="700"/>
    </row>
    <row r="49" spans="1:10">
      <c r="A49" s="20"/>
      <c r="C49" s="678"/>
      <c r="D49" s="678"/>
      <c r="E49" s="678"/>
      <c r="F49" s="678"/>
      <c r="G49" s="678"/>
      <c r="H49" s="677"/>
      <c r="I49" s="677"/>
      <c r="J49" s="677"/>
    </row>
    <row r="50" spans="1:10" ht="39.75">
      <c r="B50" s="23" t="s">
        <v>944</v>
      </c>
      <c r="C50" s="678"/>
      <c r="D50" s="678"/>
      <c r="E50" s="678"/>
      <c r="F50" s="678"/>
      <c r="G50" s="678"/>
      <c r="H50" s="677"/>
      <c r="I50" s="677"/>
      <c r="J50" s="677"/>
    </row>
    <row r="51" spans="1:10" ht="65.25">
      <c r="B51" s="246" t="s">
        <v>355</v>
      </c>
      <c r="C51" s="677"/>
      <c r="D51" s="678"/>
      <c r="E51" s="678"/>
      <c r="F51" s="678"/>
      <c r="G51" s="678"/>
      <c r="H51" s="677"/>
      <c r="I51" s="677"/>
      <c r="J51" s="677"/>
    </row>
    <row r="52" spans="1:10">
      <c r="C52" s="677"/>
      <c r="D52" s="678"/>
      <c r="E52" s="678"/>
      <c r="F52" s="678"/>
      <c r="G52" s="678"/>
      <c r="H52" s="679"/>
      <c r="I52" s="679"/>
      <c r="J52" s="679"/>
    </row>
    <row r="53" spans="1:10">
      <c r="C53" s="677"/>
      <c r="D53" s="678"/>
      <c r="E53" s="678"/>
      <c r="F53" s="678"/>
      <c r="G53" s="678"/>
      <c r="H53" s="677"/>
      <c r="I53" s="677"/>
      <c r="J53" s="677"/>
    </row>
    <row r="54" spans="1:10">
      <c r="C54" s="677"/>
      <c r="D54" s="678"/>
      <c r="E54" s="678"/>
      <c r="F54" s="678"/>
      <c r="G54" s="678"/>
      <c r="H54" s="679"/>
      <c r="I54" s="679"/>
      <c r="J54" s="679"/>
    </row>
    <row r="55" spans="1:10">
      <c r="C55" s="677"/>
      <c r="D55" s="678"/>
      <c r="E55" s="678"/>
      <c r="F55" s="678"/>
      <c r="G55" s="678"/>
      <c r="H55" s="679"/>
      <c r="I55" s="679"/>
      <c r="J55" s="679"/>
    </row>
    <row r="56" spans="1:10">
      <c r="C56" s="677"/>
      <c r="D56" s="678"/>
      <c r="E56" s="678"/>
      <c r="F56" s="678"/>
      <c r="G56" s="678"/>
      <c r="H56" s="679"/>
      <c r="I56" s="679"/>
      <c r="J56" s="679"/>
    </row>
    <row r="57" spans="1:10">
      <c r="C57" s="677"/>
      <c r="D57" s="678"/>
      <c r="E57" s="678"/>
      <c r="F57" s="678"/>
      <c r="G57" s="678"/>
      <c r="H57" s="679"/>
      <c r="I57" s="679"/>
      <c r="J57" s="679"/>
    </row>
    <row r="58" spans="1:10">
      <c r="C58" s="677"/>
      <c r="D58" s="678"/>
      <c r="E58" s="678"/>
      <c r="F58" s="678"/>
      <c r="G58" s="678"/>
      <c r="H58" s="679"/>
      <c r="I58" s="679"/>
      <c r="J58" s="679"/>
    </row>
    <row r="59" spans="1:10">
      <c r="C59" s="677"/>
      <c r="D59" s="678"/>
      <c r="E59" s="678"/>
      <c r="F59" s="678"/>
      <c r="G59" s="678"/>
      <c r="H59" s="679"/>
      <c r="I59" s="679"/>
      <c r="J59" s="679"/>
    </row>
    <row r="60" spans="1:10">
      <c r="C60" s="677"/>
      <c r="D60" s="678"/>
      <c r="E60" s="678"/>
      <c r="F60" s="678"/>
      <c r="G60" s="678"/>
      <c r="H60" s="679"/>
      <c r="I60" s="679"/>
      <c r="J60" s="679"/>
    </row>
    <row r="61" spans="1:10">
      <c r="C61" s="677"/>
      <c r="D61" s="678"/>
      <c r="E61" s="678"/>
      <c r="F61" s="678"/>
      <c r="G61" s="678"/>
      <c r="H61" s="679"/>
      <c r="I61" s="679"/>
      <c r="J61" s="679"/>
    </row>
    <row r="62" spans="1:10">
      <c r="C62" s="677"/>
      <c r="D62" s="678"/>
      <c r="E62" s="678"/>
      <c r="F62" s="678"/>
      <c r="G62" s="678"/>
      <c r="H62" s="679"/>
      <c r="I62" s="679"/>
      <c r="J62" s="679"/>
    </row>
    <row r="63" spans="1:10">
      <c r="C63" s="677"/>
      <c r="D63" s="678"/>
      <c r="E63" s="678"/>
      <c r="F63" s="678"/>
      <c r="G63" s="678"/>
      <c r="H63" s="679"/>
      <c r="I63" s="679"/>
      <c r="J63" s="679"/>
    </row>
    <row r="64" spans="1:10">
      <c r="C64" s="677"/>
      <c r="D64" s="678"/>
      <c r="E64" s="678"/>
      <c r="F64" s="678"/>
      <c r="G64" s="678"/>
      <c r="H64" s="679"/>
      <c r="I64" s="679"/>
      <c r="J64" s="679"/>
    </row>
    <row r="65" spans="3:10">
      <c r="C65" s="677"/>
      <c r="D65" s="678"/>
      <c r="E65" s="678"/>
      <c r="F65" s="678"/>
      <c r="G65" s="678"/>
      <c r="H65" s="679"/>
      <c r="I65" s="679"/>
      <c r="J65" s="679"/>
    </row>
    <row r="66" spans="3:10">
      <c r="C66" s="677"/>
      <c r="D66" s="678"/>
      <c r="E66" s="678"/>
      <c r="F66" s="678"/>
      <c r="G66" s="678"/>
      <c r="H66" s="679"/>
      <c r="I66" s="679"/>
      <c r="J66" s="679"/>
    </row>
    <row r="67" spans="3:10">
      <c r="C67" s="677"/>
      <c r="D67" s="678"/>
      <c r="E67" s="678"/>
      <c r="F67" s="678"/>
      <c r="G67" s="678"/>
      <c r="H67" s="679"/>
      <c r="I67" s="679"/>
      <c r="J67" s="679"/>
    </row>
    <row r="68" spans="3:10">
      <c r="C68" s="677"/>
      <c r="D68" s="678"/>
      <c r="E68" s="678"/>
      <c r="F68" s="678"/>
      <c r="G68" s="678"/>
      <c r="H68" s="679"/>
      <c r="I68" s="679"/>
      <c r="J68" s="679"/>
    </row>
    <row r="69" spans="3:10">
      <c r="C69" s="677"/>
      <c r="D69" s="678"/>
      <c r="E69" s="678"/>
      <c r="F69" s="678"/>
      <c r="G69" s="678"/>
      <c r="H69" s="679"/>
      <c r="I69" s="679"/>
      <c r="J69" s="679"/>
    </row>
    <row r="70" spans="3:10">
      <c r="C70" s="677"/>
      <c r="D70" s="678"/>
      <c r="E70" s="678"/>
      <c r="F70" s="678"/>
      <c r="G70" s="678"/>
      <c r="H70" s="679"/>
      <c r="I70" s="679"/>
      <c r="J70" s="679"/>
    </row>
    <row r="71" spans="3:10">
      <c r="C71" s="677"/>
      <c r="D71" s="678"/>
      <c r="E71" s="678"/>
      <c r="F71" s="678"/>
      <c r="G71" s="678"/>
      <c r="H71" s="679"/>
      <c r="I71" s="679"/>
      <c r="J71" s="679"/>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zoomScale="80" zoomScaleNormal="80" workbookViewId="0">
      <selection activeCell="B30" sqref="B30"/>
    </sheetView>
  </sheetViews>
  <sheetFormatPr defaultColWidth="9.28515625" defaultRowHeight="12.75"/>
  <cols>
    <col min="1" max="1" width="11.7109375" style="380" bestFit="1" customWidth="1"/>
    <col min="2" max="2" width="105.28515625" style="380" bestFit="1" customWidth="1"/>
    <col min="3" max="3" width="15.28515625" style="685" bestFit="1" customWidth="1"/>
    <col min="4" max="4" width="14.28515625" style="685" bestFit="1" customWidth="1"/>
    <col min="5" max="5" width="17.5703125" style="685" bestFit="1" customWidth="1"/>
    <col min="6" max="6" width="14.28515625" style="685" bestFit="1" customWidth="1"/>
    <col min="7" max="7" width="30.42578125" style="685" customWidth="1"/>
    <col min="8" max="8" width="15.140625" style="685" bestFit="1" customWidth="1"/>
    <col min="9" max="9" width="9.85546875" style="380" bestFit="1" customWidth="1"/>
    <col min="10" max="16384" width="9.28515625" style="380"/>
  </cols>
  <sheetData>
    <row r="1" spans="1:9" ht="13.5">
      <c r="A1" s="379" t="s">
        <v>108</v>
      </c>
      <c r="B1" s="306" t="str">
        <f>Info!C2</f>
        <v>JSC "VTB Bank (Georgia)"</v>
      </c>
    </row>
    <row r="2" spans="1:9">
      <c r="A2" s="381" t="s">
        <v>109</v>
      </c>
      <c r="B2" s="383">
        <f>Info!D2</f>
        <v>45657</v>
      </c>
    </row>
    <row r="3" spans="1:9">
      <c r="A3" s="382" t="s">
        <v>493</v>
      </c>
    </row>
    <row r="5" spans="1:9">
      <c r="A5" s="862" t="s">
        <v>494</v>
      </c>
      <c r="B5" s="863"/>
      <c r="C5" s="868" t="s">
        <v>495</v>
      </c>
      <c r="D5" s="869"/>
      <c r="E5" s="869"/>
      <c r="F5" s="869"/>
      <c r="G5" s="869"/>
      <c r="H5" s="870"/>
    </row>
    <row r="6" spans="1:9">
      <c r="A6" s="864"/>
      <c r="B6" s="865"/>
      <c r="C6" s="871"/>
      <c r="D6" s="872"/>
      <c r="E6" s="872"/>
      <c r="F6" s="872"/>
      <c r="G6" s="872"/>
      <c r="H6" s="873"/>
    </row>
    <row r="7" spans="1:9" ht="25.5">
      <c r="A7" s="866"/>
      <c r="B7" s="867"/>
      <c r="C7" s="629" t="s">
        <v>496</v>
      </c>
      <c r="D7" s="629" t="s">
        <v>497</v>
      </c>
      <c r="E7" s="629" t="s">
        <v>498</v>
      </c>
      <c r="F7" s="629" t="s">
        <v>499</v>
      </c>
      <c r="G7" s="628" t="s">
        <v>679</v>
      </c>
      <c r="H7" s="629" t="s">
        <v>66</v>
      </c>
    </row>
    <row r="8" spans="1:9">
      <c r="A8" s="477">
        <v>1</v>
      </c>
      <c r="B8" s="476" t="s">
        <v>134</v>
      </c>
      <c r="C8" s="718">
        <v>351</v>
      </c>
      <c r="D8" s="718">
        <v>0.36000000000001364</v>
      </c>
      <c r="E8" s="718">
        <v>0</v>
      </c>
      <c r="F8" s="718">
        <v>0</v>
      </c>
      <c r="G8" s="718"/>
      <c r="H8" s="631">
        <f t="shared" ref="H8:H20" si="0">SUM(C8:G8)</f>
        <v>351.36</v>
      </c>
    </row>
    <row r="9" spans="1:9">
      <c r="A9" s="477">
        <v>2</v>
      </c>
      <c r="B9" s="476" t="s">
        <v>135</v>
      </c>
      <c r="C9" s="718"/>
      <c r="D9" s="718"/>
      <c r="E9" s="718"/>
      <c r="F9" s="718"/>
      <c r="G9" s="718"/>
      <c r="H9" s="631">
        <f t="shared" si="0"/>
        <v>0</v>
      </c>
    </row>
    <row r="10" spans="1:9">
      <c r="A10" s="477">
        <v>3</v>
      </c>
      <c r="B10" s="476" t="s">
        <v>136</v>
      </c>
      <c r="C10" s="718"/>
      <c r="D10" s="718"/>
      <c r="E10" s="718"/>
      <c r="F10" s="718"/>
      <c r="G10" s="718"/>
      <c r="H10" s="631">
        <f t="shared" si="0"/>
        <v>0</v>
      </c>
    </row>
    <row r="11" spans="1:9">
      <c r="A11" s="477">
        <v>4</v>
      </c>
      <c r="B11" s="476" t="s">
        <v>137</v>
      </c>
      <c r="C11" s="718"/>
      <c r="D11" s="718"/>
      <c r="E11" s="718"/>
      <c r="F11" s="718"/>
      <c r="G11" s="718"/>
      <c r="H11" s="631">
        <f t="shared" si="0"/>
        <v>0</v>
      </c>
    </row>
    <row r="12" spans="1:9">
      <c r="A12" s="477">
        <v>5</v>
      </c>
      <c r="B12" s="476" t="s">
        <v>948</v>
      </c>
      <c r="C12" s="718"/>
      <c r="D12" s="718"/>
      <c r="E12" s="718"/>
      <c r="F12" s="718"/>
      <c r="G12" s="718"/>
      <c r="H12" s="631">
        <f t="shared" si="0"/>
        <v>0</v>
      </c>
    </row>
    <row r="13" spans="1:9">
      <c r="A13" s="477">
        <v>6</v>
      </c>
      <c r="B13" s="476" t="s">
        <v>138</v>
      </c>
      <c r="C13" s="718">
        <v>6708255</v>
      </c>
      <c r="D13" s="718">
        <v>119571</v>
      </c>
      <c r="E13" s="718">
        <v>0</v>
      </c>
      <c r="F13" s="718">
        <v>0</v>
      </c>
      <c r="G13" s="718"/>
      <c r="H13" s="631">
        <f>SUM(C13:G13)</f>
        <v>6827826</v>
      </c>
      <c r="I13" s="662">
        <v>0.82689999975264072</v>
      </c>
    </row>
    <row r="14" spans="1:9">
      <c r="A14" s="477">
        <v>7</v>
      </c>
      <c r="B14" s="476" t="s">
        <v>71</v>
      </c>
      <c r="C14" s="718">
        <v>0</v>
      </c>
      <c r="D14" s="718">
        <v>78861692.183500007</v>
      </c>
      <c r="E14" s="718">
        <v>73402247.826299921</v>
      </c>
      <c r="F14" s="718">
        <v>13031927.521000002</v>
      </c>
      <c r="G14" s="718">
        <v>0</v>
      </c>
      <c r="H14" s="631">
        <f t="shared" si="0"/>
        <v>165295867.53079993</v>
      </c>
      <c r="I14" s="662">
        <v>-0.26910006999969482</v>
      </c>
    </row>
    <row r="15" spans="1:9">
      <c r="A15" s="477">
        <v>8</v>
      </c>
      <c r="B15" s="478" t="s">
        <v>72</v>
      </c>
      <c r="C15" s="718">
        <v>0</v>
      </c>
      <c r="D15" s="718">
        <v>0</v>
      </c>
      <c r="E15" s="718">
        <v>0</v>
      </c>
      <c r="F15" s="718">
        <v>0</v>
      </c>
      <c r="G15" s="718">
        <v>0</v>
      </c>
      <c r="H15" s="631">
        <f t="shared" si="0"/>
        <v>0</v>
      </c>
    </row>
    <row r="16" spans="1:9">
      <c r="A16" s="477">
        <v>9</v>
      </c>
      <c r="B16" s="476" t="s">
        <v>949</v>
      </c>
      <c r="C16" s="718">
        <v>0</v>
      </c>
      <c r="D16" s="718">
        <v>33706.974800000004</v>
      </c>
      <c r="E16" s="718">
        <v>1662657.9487000001</v>
      </c>
      <c r="F16" s="718">
        <v>4717963.7015000004</v>
      </c>
      <c r="G16" s="718">
        <v>0</v>
      </c>
      <c r="H16" s="631">
        <f t="shared" si="0"/>
        <v>6414328.625</v>
      </c>
      <c r="I16" s="662">
        <v>-0.83220000006258488</v>
      </c>
    </row>
    <row r="17" spans="1:9">
      <c r="A17" s="477">
        <v>10</v>
      </c>
      <c r="B17" s="480" t="s">
        <v>514</v>
      </c>
      <c r="C17" s="718">
        <v>0</v>
      </c>
      <c r="D17" s="718">
        <v>6604159.9216</v>
      </c>
      <c r="E17" s="718">
        <v>54352754.935599998</v>
      </c>
      <c r="F17" s="718">
        <v>4914295.75</v>
      </c>
      <c r="G17" s="718">
        <v>0</v>
      </c>
      <c r="H17" s="631">
        <f t="shared" si="0"/>
        <v>65871210.607199997</v>
      </c>
      <c r="I17" s="662">
        <v>-0.39869999885559082</v>
      </c>
    </row>
    <row r="18" spans="1:9">
      <c r="A18" s="477">
        <v>11</v>
      </c>
      <c r="B18" s="476" t="s">
        <v>68</v>
      </c>
      <c r="C18" s="718">
        <v>0</v>
      </c>
      <c r="D18" s="718">
        <v>0</v>
      </c>
      <c r="E18" s="718">
        <v>0</v>
      </c>
      <c r="F18" s="718">
        <v>0</v>
      </c>
      <c r="G18" s="718">
        <v>0</v>
      </c>
      <c r="H18" s="631">
        <f t="shared" si="0"/>
        <v>0</v>
      </c>
    </row>
    <row r="19" spans="1:9">
      <c r="A19" s="477">
        <v>12</v>
      </c>
      <c r="B19" s="476" t="s">
        <v>69</v>
      </c>
      <c r="C19" s="718"/>
      <c r="D19" s="718"/>
      <c r="E19" s="718"/>
      <c r="F19" s="718"/>
      <c r="G19" s="718"/>
      <c r="H19" s="631">
        <f t="shared" si="0"/>
        <v>0</v>
      </c>
    </row>
    <row r="20" spans="1:9">
      <c r="A20" s="479">
        <v>13</v>
      </c>
      <c r="B20" s="478" t="s">
        <v>70</v>
      </c>
      <c r="C20" s="718"/>
      <c r="D20" s="718"/>
      <c r="E20" s="718"/>
      <c r="F20" s="718"/>
      <c r="G20" s="718"/>
      <c r="H20" s="631">
        <f t="shared" si="0"/>
        <v>0</v>
      </c>
    </row>
    <row r="21" spans="1:9">
      <c r="A21" s="477">
        <v>14</v>
      </c>
      <c r="B21" s="476" t="s">
        <v>500</v>
      </c>
      <c r="C21" s="718">
        <v>170288483</v>
      </c>
      <c r="D21" s="718">
        <v>16219260.099312639</v>
      </c>
      <c r="E21" s="718">
        <v>674595.7324000001</v>
      </c>
      <c r="F21" s="718">
        <v>0</v>
      </c>
      <c r="G21" s="718">
        <v>83818907</v>
      </c>
      <c r="H21" s="631">
        <f>SUM(C21:G21)</f>
        <v>271001245.8317126</v>
      </c>
      <c r="I21" s="662">
        <v>0.47251260280609131</v>
      </c>
    </row>
    <row r="22" spans="1:9">
      <c r="A22" s="475">
        <v>15</v>
      </c>
      <c r="B22" s="474" t="s">
        <v>66</v>
      </c>
      <c r="C22" s="631">
        <f>SUM(C18:C21)+SUM(C8:C16)</f>
        <v>176997089</v>
      </c>
      <c r="D22" s="631">
        <f t="shared" ref="D22:G22" si="1">SUM(D18:D21)+SUM(D8:D16)</f>
        <v>95234230.617612645</v>
      </c>
      <c r="E22" s="631">
        <f>SUM(E18:E21)+SUM(E8:E16)</f>
        <v>75739501.507399917</v>
      </c>
      <c r="F22" s="631">
        <f t="shared" si="1"/>
        <v>17749891.222500004</v>
      </c>
      <c r="G22" s="631">
        <f t="shared" si="1"/>
        <v>83818907</v>
      </c>
      <c r="H22" s="631">
        <f>SUM(H18:H21)+SUM(H8:H16)</f>
        <v>449539619.34751254</v>
      </c>
    </row>
    <row r="23" spans="1:9">
      <c r="H23" s="685">
        <f>H22-'13. CRME'!C22</f>
        <v>0.44410604238510132</v>
      </c>
    </row>
    <row r="26" spans="1:9" ht="38.25">
      <c r="B26" s="400"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6"/>
  <sheetViews>
    <sheetView showGridLines="0" zoomScale="80" zoomScaleNormal="80" workbookViewId="0">
      <selection activeCell="D12" sqref="D12:E12"/>
    </sheetView>
  </sheetViews>
  <sheetFormatPr defaultColWidth="9.28515625" defaultRowHeight="12.75"/>
  <cols>
    <col min="1" max="1" width="11.7109375" style="384" bestFit="1" customWidth="1"/>
    <col min="2" max="2" width="86.7109375" style="380" customWidth="1"/>
    <col min="3" max="4" width="31.5703125" style="380" customWidth="1"/>
    <col min="5" max="5" width="16.42578125" style="386" bestFit="1" customWidth="1"/>
    <col min="6" max="6" width="14.28515625" style="386" bestFit="1" customWidth="1"/>
    <col min="7" max="7" width="20" style="380" bestFit="1" customWidth="1"/>
    <col min="8" max="8" width="23.7109375" style="380" customWidth="1"/>
    <col min="9" max="9" width="11.42578125" style="380" bestFit="1" customWidth="1"/>
    <col min="10" max="16384" width="9.28515625" style="380"/>
  </cols>
  <sheetData>
    <row r="1" spans="1:9" ht="13.5">
      <c r="A1" s="379" t="s">
        <v>108</v>
      </c>
      <c r="B1" s="306" t="str">
        <f>Info!C2</f>
        <v>JSC "VTB Bank (Georgia)"</v>
      </c>
      <c r="C1" s="492"/>
      <c r="D1" s="492"/>
      <c r="E1" s="492"/>
      <c r="F1" s="492"/>
      <c r="G1" s="492"/>
      <c r="H1" s="492"/>
    </row>
    <row r="2" spans="1:9">
      <c r="A2" s="381" t="s">
        <v>109</v>
      </c>
      <c r="B2" s="383">
        <f>Info!D2</f>
        <v>45657</v>
      </c>
      <c r="C2" s="492"/>
      <c r="D2" s="492"/>
      <c r="E2" s="492"/>
      <c r="F2" s="492"/>
      <c r="G2" s="492"/>
      <c r="H2" s="492"/>
    </row>
    <row r="3" spans="1:9">
      <c r="A3" s="382" t="s">
        <v>501</v>
      </c>
      <c r="B3" s="492"/>
      <c r="C3" s="492"/>
      <c r="D3" s="492"/>
      <c r="E3" s="492"/>
      <c r="F3" s="492"/>
      <c r="G3" s="492"/>
      <c r="H3" s="492"/>
    </row>
    <row r="4" spans="1:9">
      <c r="A4" s="493"/>
      <c r="B4" s="492"/>
      <c r="C4" s="491" t="s">
        <v>502</v>
      </c>
      <c r="D4" s="491" t="s">
        <v>503</v>
      </c>
      <c r="E4" s="491" t="s">
        <v>504</v>
      </c>
      <c r="F4" s="491" t="s">
        <v>505</v>
      </c>
      <c r="G4" s="491" t="s">
        <v>506</v>
      </c>
      <c r="H4" s="491" t="s">
        <v>507</v>
      </c>
    </row>
    <row r="5" spans="1:9" ht="34.35" customHeight="1">
      <c r="A5" s="862" t="s">
        <v>867</v>
      </c>
      <c r="B5" s="863"/>
      <c r="C5" s="876" t="s">
        <v>596</v>
      </c>
      <c r="D5" s="876"/>
      <c r="E5" s="876" t="s">
        <v>866</v>
      </c>
      <c r="F5" s="874" t="s">
        <v>865</v>
      </c>
      <c r="G5" s="874" t="s">
        <v>511</v>
      </c>
      <c r="H5" s="489" t="s">
        <v>864</v>
      </c>
    </row>
    <row r="6" spans="1:9" ht="25.5">
      <c r="A6" s="866"/>
      <c r="B6" s="867"/>
      <c r="C6" s="490" t="s">
        <v>512</v>
      </c>
      <c r="D6" s="490" t="s">
        <v>513</v>
      </c>
      <c r="E6" s="876"/>
      <c r="F6" s="875"/>
      <c r="G6" s="875"/>
      <c r="H6" s="489" t="s">
        <v>863</v>
      </c>
    </row>
    <row r="7" spans="1:9">
      <c r="A7" s="487">
        <v>1</v>
      </c>
      <c r="B7" s="476" t="s">
        <v>134</v>
      </c>
      <c r="C7" s="719"/>
      <c r="D7" s="719">
        <v>351</v>
      </c>
      <c r="E7" s="720"/>
      <c r="F7" s="720"/>
      <c r="G7" s="719"/>
      <c r="H7" s="626">
        <f t="shared" ref="H7:H20" si="0">C7+D7-E7-F7</f>
        <v>351</v>
      </c>
    </row>
    <row r="8" spans="1:9" ht="25.35" customHeight="1">
      <c r="A8" s="487">
        <v>2</v>
      </c>
      <c r="B8" s="476" t="s">
        <v>135</v>
      </c>
      <c r="C8" s="719"/>
      <c r="D8" s="719"/>
      <c r="E8" s="720"/>
      <c r="F8" s="720"/>
      <c r="G8" s="719"/>
      <c r="H8" s="626">
        <f t="shared" si="0"/>
        <v>0</v>
      </c>
    </row>
    <row r="9" spans="1:9">
      <c r="A9" s="487">
        <v>3</v>
      </c>
      <c r="B9" s="476" t="s">
        <v>136</v>
      </c>
      <c r="C9" s="719"/>
      <c r="D9" s="719"/>
      <c r="E9" s="720"/>
      <c r="F9" s="720"/>
      <c r="G9" s="719"/>
      <c r="H9" s="626">
        <f t="shared" si="0"/>
        <v>0</v>
      </c>
    </row>
    <row r="10" spans="1:9">
      <c r="A10" s="487">
        <v>4</v>
      </c>
      <c r="B10" s="476" t="s">
        <v>137</v>
      </c>
      <c r="C10" s="719"/>
      <c r="D10" s="719"/>
      <c r="E10" s="720"/>
      <c r="F10" s="720"/>
      <c r="G10" s="719"/>
      <c r="H10" s="626">
        <f t="shared" si="0"/>
        <v>0</v>
      </c>
    </row>
    <row r="11" spans="1:9">
      <c r="A11" s="487">
        <v>5</v>
      </c>
      <c r="B11" s="476" t="s">
        <v>948</v>
      </c>
      <c r="C11" s="719"/>
      <c r="D11" s="719"/>
      <c r="E11" s="720"/>
      <c r="F11" s="720"/>
      <c r="G11" s="719"/>
      <c r="H11" s="626">
        <f t="shared" si="0"/>
        <v>0</v>
      </c>
    </row>
    <row r="12" spans="1:9">
      <c r="A12" s="487">
        <v>6</v>
      </c>
      <c r="B12" s="476" t="s">
        <v>138</v>
      </c>
      <c r="C12" s="719"/>
      <c r="D12" s="719">
        <v>6827971</v>
      </c>
      <c r="E12" s="720">
        <v>143</v>
      </c>
      <c r="F12" s="720"/>
      <c r="G12" s="719"/>
      <c r="H12" s="626">
        <f t="shared" si="0"/>
        <v>6827828</v>
      </c>
      <c r="I12" s="662">
        <f>H12-' 17. Residual Maturity'!H13</f>
        <v>2</v>
      </c>
    </row>
    <row r="13" spans="1:9">
      <c r="A13" s="487">
        <v>7</v>
      </c>
      <c r="B13" s="476" t="s">
        <v>71</v>
      </c>
      <c r="C13" s="719">
        <v>113998750.8696446</v>
      </c>
      <c r="D13" s="719">
        <v>74516331.080281422</v>
      </c>
      <c r="E13" s="720">
        <v>23219215</v>
      </c>
      <c r="F13" s="720">
        <v>0</v>
      </c>
      <c r="G13" s="719">
        <v>0</v>
      </c>
      <c r="H13" s="626">
        <f t="shared" si="0"/>
        <v>165295866.94992602</v>
      </c>
      <c r="I13" s="662">
        <f>H13-' 17. Residual Maturity'!H14</f>
        <v>-0.58087390661239624</v>
      </c>
    </row>
    <row r="14" spans="1:9">
      <c r="A14" s="487">
        <v>8</v>
      </c>
      <c r="B14" s="478" t="s">
        <v>72</v>
      </c>
      <c r="C14" s="719">
        <v>0</v>
      </c>
      <c r="D14" s="719">
        <v>0</v>
      </c>
      <c r="E14" s="719">
        <v>0</v>
      </c>
      <c r="F14" s="720">
        <v>0</v>
      </c>
      <c r="G14" s="719">
        <v>0</v>
      </c>
      <c r="H14" s="626">
        <f t="shared" si="0"/>
        <v>0</v>
      </c>
      <c r="I14" s="662">
        <f>H14-' 17. Residual Maturity'!H15</f>
        <v>0</v>
      </c>
    </row>
    <row r="15" spans="1:9" ht="24">
      <c r="A15" s="487">
        <v>9</v>
      </c>
      <c r="B15" s="476" t="s">
        <v>949</v>
      </c>
      <c r="C15" s="719">
        <v>157095</v>
      </c>
      <c r="D15" s="719">
        <v>6310290.2069192799</v>
      </c>
      <c r="E15" s="720">
        <v>53057</v>
      </c>
      <c r="F15" s="720">
        <v>0</v>
      </c>
      <c r="G15" s="719">
        <v>0</v>
      </c>
      <c r="H15" s="626">
        <f t="shared" si="0"/>
        <v>6414328.2069192799</v>
      </c>
      <c r="I15" s="662">
        <f>H15-' 17. Residual Maturity'!H16</f>
        <v>-0.4180807201191783</v>
      </c>
    </row>
    <row r="16" spans="1:9">
      <c r="A16" s="487">
        <v>10</v>
      </c>
      <c r="B16" s="480" t="s">
        <v>514</v>
      </c>
      <c r="C16" s="719">
        <v>83141077.571964607</v>
      </c>
      <c r="D16" s="719">
        <v>0</v>
      </c>
      <c r="E16" s="720">
        <v>17269867.178573098</v>
      </c>
      <c r="F16" s="720">
        <v>0</v>
      </c>
      <c r="G16" s="719">
        <v>0</v>
      </c>
      <c r="H16" s="626">
        <f t="shared" si="0"/>
        <v>65871210.393391505</v>
      </c>
      <c r="I16" s="662">
        <f>H16-' 17. Residual Maturity'!H17</f>
        <v>-0.21380849182605743</v>
      </c>
    </row>
    <row r="17" spans="1:9">
      <c r="A17" s="487">
        <v>11</v>
      </c>
      <c r="B17" s="476" t="s">
        <v>68</v>
      </c>
      <c r="C17" s="719">
        <v>0</v>
      </c>
      <c r="D17" s="719">
        <v>0</v>
      </c>
      <c r="E17" s="720">
        <v>0</v>
      </c>
      <c r="F17" s="720">
        <v>0</v>
      </c>
      <c r="G17" s="719">
        <v>0</v>
      </c>
      <c r="H17" s="626">
        <f t="shared" si="0"/>
        <v>0</v>
      </c>
    </row>
    <row r="18" spans="1:9">
      <c r="A18" s="487">
        <v>12</v>
      </c>
      <c r="B18" s="476" t="s">
        <v>69</v>
      </c>
      <c r="C18" s="719"/>
      <c r="D18" s="719"/>
      <c r="E18" s="720"/>
      <c r="F18" s="720"/>
      <c r="G18" s="719"/>
      <c r="H18" s="626">
        <f t="shared" si="0"/>
        <v>0</v>
      </c>
    </row>
    <row r="19" spans="1:9">
      <c r="A19" s="488">
        <v>13</v>
      </c>
      <c r="B19" s="478" t="s">
        <v>70</v>
      </c>
      <c r="C19" s="719"/>
      <c r="D19" s="719"/>
      <c r="E19" s="720"/>
      <c r="F19" s="720"/>
      <c r="G19" s="719"/>
      <c r="H19" s="626">
        <f t="shared" si="0"/>
        <v>0</v>
      </c>
    </row>
    <row r="20" spans="1:9">
      <c r="A20" s="487">
        <v>14</v>
      </c>
      <c r="B20" s="476" t="s">
        <v>500</v>
      </c>
      <c r="C20" s="719">
        <v>0</v>
      </c>
      <c r="D20" s="719">
        <v>272015911.15579998</v>
      </c>
      <c r="E20" s="720">
        <v>0</v>
      </c>
      <c r="F20" s="720">
        <v>0</v>
      </c>
      <c r="G20" s="719"/>
      <c r="H20" s="626">
        <f t="shared" si="0"/>
        <v>272015911.15579998</v>
      </c>
      <c r="I20" s="662">
        <v>0</v>
      </c>
    </row>
    <row r="21" spans="1:9" s="385" customFormat="1">
      <c r="A21" s="486">
        <v>15</v>
      </c>
      <c r="B21" s="485" t="s">
        <v>66</v>
      </c>
      <c r="C21" s="721">
        <f>SUM(C7:C15)+SUM(C17:C20)</f>
        <v>114155845.8696446</v>
      </c>
      <c r="D21" s="721">
        <f t="shared" ref="D21:G21" si="1">SUM(D7:D15)+SUM(D17:D20)</f>
        <v>359670854.44300067</v>
      </c>
      <c r="E21" s="721">
        <f>SUM(E7:E15)+SUM(E17:E20)</f>
        <v>23272415</v>
      </c>
      <c r="F21" s="721">
        <f t="shared" si="1"/>
        <v>0</v>
      </c>
      <c r="G21" s="721">
        <f t="shared" si="1"/>
        <v>0</v>
      </c>
      <c r="H21" s="626">
        <f t="shared" ref="H21" si="2">SUM(H7:H15)+SUM(H17:H20)</f>
        <v>450554285.31264532</v>
      </c>
    </row>
    <row r="22" spans="1:9">
      <c r="A22" s="484">
        <v>16</v>
      </c>
      <c r="B22" s="483" t="s">
        <v>515</v>
      </c>
      <c r="C22" s="719">
        <v>114155845.8696446</v>
      </c>
      <c r="D22" s="719">
        <v>80826621.287200704</v>
      </c>
      <c r="E22" s="719">
        <v>23272272.000000004</v>
      </c>
      <c r="F22" s="720">
        <v>0</v>
      </c>
      <c r="G22" s="719"/>
      <c r="H22" s="626">
        <f>C22+D22-E22-F22</f>
        <v>171710195.1568453</v>
      </c>
    </row>
    <row r="23" spans="1:9">
      <c r="A23" s="484">
        <v>17</v>
      </c>
      <c r="B23" s="483" t="s">
        <v>516</v>
      </c>
      <c r="C23" s="665"/>
      <c r="D23" s="665"/>
      <c r="E23" s="627"/>
      <c r="F23" s="627"/>
      <c r="G23" s="665"/>
      <c r="H23" s="626">
        <f>C23+D23-E23-F23</f>
        <v>0</v>
      </c>
    </row>
    <row r="24" spans="1:9">
      <c r="C24" s="685">
        <f>C22-'24. Risk Sector'!F33</f>
        <v>-0.35955542325973511</v>
      </c>
      <c r="D24" s="685"/>
      <c r="E24" s="685">
        <f>E22-'24. Risk Sector'!H33</f>
        <v>1.4379811249673367</v>
      </c>
      <c r="F24" s="686"/>
      <c r="G24" s="685"/>
      <c r="H24" s="685">
        <f>H21-'7. LI1'!C37</f>
        <v>0.40014684200286865</v>
      </c>
    </row>
    <row r="25" spans="1:9">
      <c r="E25" s="380"/>
      <c r="F25" s="380"/>
      <c r="H25" s="662">
        <f>'2. SOFP'!E36-H21</f>
        <v>-0.40014684200286865</v>
      </c>
    </row>
    <row r="26" spans="1:9" ht="42.6" customHeight="1">
      <c r="B26" s="400" t="s">
        <v>678</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70" zoomScaleNormal="70" workbookViewId="0">
      <selection activeCell="D37" sqref="D37"/>
    </sheetView>
  </sheetViews>
  <sheetFormatPr defaultColWidth="9.28515625" defaultRowHeight="12.75"/>
  <cols>
    <col min="1" max="1" width="11" style="380" bestFit="1" customWidth="1"/>
    <col min="2" max="2" width="54" style="380" customWidth="1"/>
    <col min="3" max="3" width="35" style="380" customWidth="1"/>
    <col min="4" max="4" width="35.140625" style="380" customWidth="1"/>
    <col min="5" max="5" width="22" style="380" customWidth="1"/>
    <col min="6" max="6" width="16.140625" style="380" customWidth="1"/>
    <col min="7" max="7" width="17.85546875" style="380" customWidth="1"/>
    <col min="8" max="8" width="29.7109375" style="380" bestFit="1" customWidth="1"/>
    <col min="9" max="9" width="12.42578125" style="380" bestFit="1" customWidth="1"/>
    <col min="10" max="16384" width="9.28515625" style="380"/>
  </cols>
  <sheetData>
    <row r="1" spans="1:8" ht="13.5">
      <c r="A1" s="379" t="s">
        <v>108</v>
      </c>
      <c r="B1" s="306" t="str">
        <f>Info!C2</f>
        <v>JSC "VTB Bank (Georgia)"</v>
      </c>
      <c r="C1" s="492"/>
      <c r="D1" s="492"/>
      <c r="E1" s="492"/>
      <c r="F1" s="492"/>
      <c r="G1" s="492"/>
      <c r="H1" s="492"/>
    </row>
    <row r="2" spans="1:8">
      <c r="A2" s="381" t="s">
        <v>109</v>
      </c>
      <c r="B2" s="383">
        <f>Info!D2</f>
        <v>45657</v>
      </c>
      <c r="C2" s="492"/>
      <c r="D2" s="492"/>
      <c r="E2" s="492"/>
      <c r="F2" s="492"/>
      <c r="G2" s="492"/>
      <c r="H2" s="492"/>
    </row>
    <row r="3" spans="1:8">
      <c r="A3" s="382" t="s">
        <v>517</v>
      </c>
      <c r="B3" s="492"/>
      <c r="C3" s="492"/>
      <c r="D3" s="492"/>
      <c r="E3" s="492"/>
      <c r="F3" s="492"/>
      <c r="G3" s="492"/>
      <c r="H3" s="492"/>
    </row>
    <row r="4" spans="1:8" ht="14.45" customHeight="1">
      <c r="A4" s="492"/>
      <c r="B4" s="492"/>
      <c r="C4" s="491" t="s">
        <v>502</v>
      </c>
      <c r="D4" s="491" t="s">
        <v>503</v>
      </c>
      <c r="E4" s="491" t="s">
        <v>504</v>
      </c>
      <c r="F4" s="491" t="s">
        <v>505</v>
      </c>
      <c r="G4" s="491" t="s">
        <v>506</v>
      </c>
      <c r="H4" s="491" t="s">
        <v>507</v>
      </c>
    </row>
    <row r="5" spans="1:8" ht="27.6" customHeight="1">
      <c r="A5" s="862" t="s">
        <v>869</v>
      </c>
      <c r="B5" s="863"/>
      <c r="C5" s="877" t="s">
        <v>596</v>
      </c>
      <c r="D5" s="878"/>
      <c r="E5" s="874" t="s">
        <v>866</v>
      </c>
      <c r="F5" s="874" t="s">
        <v>865</v>
      </c>
      <c r="G5" s="874" t="s">
        <v>511</v>
      </c>
      <c r="H5" s="489" t="s">
        <v>864</v>
      </c>
    </row>
    <row r="6" spans="1:8" ht="40.9" customHeight="1">
      <c r="A6" s="866"/>
      <c r="B6" s="867"/>
      <c r="C6" s="490" t="s">
        <v>512</v>
      </c>
      <c r="D6" s="490" t="s">
        <v>513</v>
      </c>
      <c r="E6" s="875"/>
      <c r="F6" s="875"/>
      <c r="G6" s="875"/>
      <c r="H6" s="489" t="s">
        <v>863</v>
      </c>
    </row>
    <row r="7" spans="1:8">
      <c r="A7" s="481">
        <v>1</v>
      </c>
      <c r="B7" s="496" t="s">
        <v>518</v>
      </c>
      <c r="C7" s="719">
        <v>0</v>
      </c>
      <c r="D7" s="719">
        <v>331814.22000000003</v>
      </c>
      <c r="E7" s="719">
        <v>6285.3713092500002</v>
      </c>
      <c r="F7" s="719"/>
      <c r="G7" s="665"/>
      <c r="H7" s="626">
        <f t="shared" ref="H7:H34" si="0">C7+D7-E7-F7</f>
        <v>325528.84869075002</v>
      </c>
    </row>
    <row r="8" spans="1:8">
      <c r="A8" s="481">
        <v>2</v>
      </c>
      <c r="B8" s="496" t="s">
        <v>519</v>
      </c>
      <c r="C8" s="719">
        <v>0</v>
      </c>
      <c r="D8" s="719">
        <v>6827969</v>
      </c>
      <c r="E8" s="719">
        <v>143</v>
      </c>
      <c r="F8" s="719"/>
      <c r="G8" s="665"/>
      <c r="H8" s="626">
        <f t="shared" si="0"/>
        <v>6827826</v>
      </c>
    </row>
    <row r="9" spans="1:8">
      <c r="A9" s="481">
        <v>3</v>
      </c>
      <c r="B9" s="496" t="s">
        <v>868</v>
      </c>
      <c r="C9" s="719">
        <v>7776779.5124999993</v>
      </c>
      <c r="D9" s="719">
        <v>0</v>
      </c>
      <c r="E9" s="719">
        <v>1036864.0342041519</v>
      </c>
      <c r="F9" s="719"/>
      <c r="G9" s="665"/>
      <c r="H9" s="626">
        <f t="shared" si="0"/>
        <v>6739915.4782958478</v>
      </c>
    </row>
    <row r="10" spans="1:8">
      <c r="A10" s="481">
        <v>4</v>
      </c>
      <c r="B10" s="496" t="s">
        <v>520</v>
      </c>
      <c r="C10" s="719">
        <v>742187.92162000004</v>
      </c>
      <c r="D10" s="719">
        <v>5312451.0853999993</v>
      </c>
      <c r="E10" s="719">
        <v>225191.13900444374</v>
      </c>
      <c r="F10" s="719"/>
      <c r="G10" s="665"/>
      <c r="H10" s="626">
        <f t="shared" si="0"/>
        <v>5829447.8680155557</v>
      </c>
    </row>
    <row r="11" spans="1:8">
      <c r="A11" s="481">
        <v>5</v>
      </c>
      <c r="B11" s="496" t="s">
        <v>521</v>
      </c>
      <c r="C11" s="719">
        <v>0</v>
      </c>
      <c r="D11" s="719">
        <v>0</v>
      </c>
      <c r="E11" s="719">
        <v>0</v>
      </c>
      <c r="F11" s="719"/>
      <c r="G11" s="665"/>
      <c r="H11" s="626">
        <f t="shared" si="0"/>
        <v>0</v>
      </c>
    </row>
    <row r="12" spans="1:8">
      <c r="A12" s="481">
        <v>6</v>
      </c>
      <c r="B12" s="496" t="s">
        <v>522</v>
      </c>
      <c r="C12" s="719">
        <v>0</v>
      </c>
      <c r="D12" s="719">
        <v>0</v>
      </c>
      <c r="E12" s="719">
        <v>0</v>
      </c>
      <c r="F12" s="719"/>
      <c r="G12" s="665"/>
      <c r="H12" s="626">
        <f t="shared" si="0"/>
        <v>0</v>
      </c>
    </row>
    <row r="13" spans="1:8">
      <c r="A13" s="481">
        <v>7</v>
      </c>
      <c r="B13" s="496" t="s">
        <v>523</v>
      </c>
      <c r="C13" s="719">
        <v>42184494.81848</v>
      </c>
      <c r="D13" s="719">
        <v>8163951.4502139995</v>
      </c>
      <c r="E13" s="719">
        <v>7090746.6479702285</v>
      </c>
      <c r="F13" s="719"/>
      <c r="G13" s="665"/>
      <c r="H13" s="626">
        <f t="shared" si="0"/>
        <v>43257699.620723769</v>
      </c>
    </row>
    <row r="14" spans="1:8">
      <c r="A14" s="481">
        <v>8</v>
      </c>
      <c r="B14" s="496" t="s">
        <v>524</v>
      </c>
      <c r="C14" s="719">
        <v>31338920.722600002</v>
      </c>
      <c r="D14" s="719">
        <v>3109525.966668</v>
      </c>
      <c r="E14" s="719">
        <v>3402734.6430021939</v>
      </c>
      <c r="F14" s="719"/>
      <c r="G14" s="665"/>
      <c r="H14" s="626">
        <f t="shared" si="0"/>
        <v>31045712.046265807</v>
      </c>
    </row>
    <row r="15" spans="1:8">
      <c r="A15" s="481">
        <v>9</v>
      </c>
      <c r="B15" s="496" t="s">
        <v>525</v>
      </c>
      <c r="C15" s="719">
        <v>7558.65</v>
      </c>
      <c r="D15" s="719">
        <v>0</v>
      </c>
      <c r="E15" s="719">
        <v>7558.65</v>
      </c>
      <c r="F15" s="719"/>
      <c r="G15" s="665"/>
      <c r="H15" s="626">
        <f t="shared" si="0"/>
        <v>0</v>
      </c>
    </row>
    <row r="16" spans="1:8" ht="25.5">
      <c r="A16" s="481">
        <v>10</v>
      </c>
      <c r="B16" s="496" t="s">
        <v>526</v>
      </c>
      <c r="C16" s="719">
        <v>0</v>
      </c>
      <c r="D16" s="719">
        <v>0</v>
      </c>
      <c r="E16" s="719">
        <v>0</v>
      </c>
      <c r="F16" s="719"/>
      <c r="G16" s="665"/>
      <c r="H16" s="626">
        <f t="shared" si="0"/>
        <v>0</v>
      </c>
    </row>
    <row r="17" spans="1:9">
      <c r="A17" s="481">
        <v>11</v>
      </c>
      <c r="B17" s="496" t="s">
        <v>527</v>
      </c>
      <c r="C17" s="719">
        <v>841884.53999999992</v>
      </c>
      <c r="D17" s="719">
        <v>4608109.6952</v>
      </c>
      <c r="E17" s="719">
        <v>655974.07690583484</v>
      </c>
      <c r="F17" s="719"/>
      <c r="G17" s="665"/>
      <c r="H17" s="626">
        <f t="shared" si="0"/>
        <v>4794020.1582941655</v>
      </c>
    </row>
    <row r="18" spans="1:9">
      <c r="A18" s="481">
        <v>12</v>
      </c>
      <c r="B18" s="496" t="s">
        <v>528</v>
      </c>
      <c r="C18" s="719">
        <v>0</v>
      </c>
      <c r="D18" s="719">
        <v>4219145.1366034634</v>
      </c>
      <c r="E18" s="719">
        <v>421904.04277699563</v>
      </c>
      <c r="F18" s="719"/>
      <c r="G18" s="665"/>
      <c r="H18" s="626">
        <f t="shared" si="0"/>
        <v>3797241.0938264676</v>
      </c>
    </row>
    <row r="19" spans="1:9">
      <c r="A19" s="481">
        <v>13</v>
      </c>
      <c r="B19" s="496" t="s">
        <v>529</v>
      </c>
      <c r="C19" s="719">
        <v>10368226.380000001</v>
      </c>
      <c r="D19" s="719">
        <v>26706925.923457839</v>
      </c>
      <c r="E19" s="719">
        <v>3373736.2585491678</v>
      </c>
      <c r="F19" s="719"/>
      <c r="G19" s="665"/>
      <c r="H19" s="626">
        <f t="shared" si="0"/>
        <v>33701416.044908673</v>
      </c>
    </row>
    <row r="20" spans="1:9">
      <c r="A20" s="481">
        <v>14</v>
      </c>
      <c r="B20" s="496" t="s">
        <v>530</v>
      </c>
      <c r="C20" s="719">
        <v>0</v>
      </c>
      <c r="D20" s="719">
        <v>0</v>
      </c>
      <c r="E20" s="719">
        <v>0</v>
      </c>
      <c r="F20" s="719"/>
      <c r="G20" s="665"/>
      <c r="H20" s="626">
        <f t="shared" si="0"/>
        <v>0</v>
      </c>
    </row>
    <row r="21" spans="1:9">
      <c r="A21" s="481">
        <v>15</v>
      </c>
      <c r="B21" s="496" t="s">
        <v>531</v>
      </c>
      <c r="C21" s="719">
        <v>0</v>
      </c>
      <c r="D21" s="719">
        <v>0</v>
      </c>
      <c r="E21" s="719">
        <v>0</v>
      </c>
      <c r="F21" s="719"/>
      <c r="G21" s="665"/>
      <c r="H21" s="626">
        <f t="shared" si="0"/>
        <v>0</v>
      </c>
    </row>
    <row r="22" spans="1:9">
      <c r="A22" s="481">
        <v>16</v>
      </c>
      <c r="B22" s="496" t="s">
        <v>532</v>
      </c>
      <c r="C22" s="719">
        <v>4055486.3772000005</v>
      </c>
      <c r="D22" s="719">
        <v>13627470.019938027</v>
      </c>
      <c r="E22" s="719">
        <v>2103386.4284050902</v>
      </c>
      <c r="F22" s="719"/>
      <c r="G22" s="665"/>
      <c r="H22" s="626">
        <f t="shared" si="0"/>
        <v>15579569.968732938</v>
      </c>
    </row>
    <row r="23" spans="1:9">
      <c r="A23" s="481">
        <v>17</v>
      </c>
      <c r="B23" s="496" t="s">
        <v>533</v>
      </c>
      <c r="C23" s="719">
        <v>0</v>
      </c>
      <c r="D23" s="719">
        <v>0</v>
      </c>
      <c r="E23" s="719">
        <v>0</v>
      </c>
      <c r="F23" s="719"/>
      <c r="G23" s="665"/>
      <c r="H23" s="626">
        <f t="shared" si="0"/>
        <v>0</v>
      </c>
    </row>
    <row r="24" spans="1:9">
      <c r="A24" s="481">
        <v>18</v>
      </c>
      <c r="B24" s="496" t="s">
        <v>534</v>
      </c>
      <c r="C24" s="719">
        <v>0</v>
      </c>
      <c r="D24" s="719">
        <v>0</v>
      </c>
      <c r="E24" s="719">
        <v>0</v>
      </c>
      <c r="F24" s="719"/>
      <c r="G24" s="665"/>
      <c r="H24" s="626">
        <f t="shared" si="0"/>
        <v>0</v>
      </c>
    </row>
    <row r="25" spans="1:9">
      <c r="A25" s="481">
        <v>19</v>
      </c>
      <c r="B25" s="496" t="s">
        <v>535</v>
      </c>
      <c r="C25" s="719">
        <v>0</v>
      </c>
      <c r="D25" s="719">
        <v>7112549.0599999996</v>
      </c>
      <c r="E25" s="719">
        <v>6266.6509716607252</v>
      </c>
      <c r="F25" s="719"/>
      <c r="G25" s="665"/>
      <c r="H25" s="626">
        <f t="shared" si="0"/>
        <v>7106282.4090283392</v>
      </c>
    </row>
    <row r="26" spans="1:9">
      <c r="A26" s="481">
        <v>20</v>
      </c>
      <c r="B26" s="496" t="s">
        <v>536</v>
      </c>
      <c r="C26" s="719">
        <v>0</v>
      </c>
      <c r="D26" s="719">
        <v>0</v>
      </c>
      <c r="E26" s="719">
        <v>0</v>
      </c>
      <c r="F26" s="719"/>
      <c r="G26" s="665"/>
      <c r="H26" s="626">
        <f t="shared" si="0"/>
        <v>0</v>
      </c>
      <c r="I26" s="387"/>
    </row>
    <row r="27" spans="1:9">
      <c r="A27" s="481">
        <v>21</v>
      </c>
      <c r="B27" s="496" t="s">
        <v>537</v>
      </c>
      <c r="C27" s="719">
        <v>0</v>
      </c>
      <c r="D27" s="719">
        <v>0</v>
      </c>
      <c r="E27" s="719">
        <v>0</v>
      </c>
      <c r="F27" s="719"/>
      <c r="G27" s="665"/>
      <c r="H27" s="626">
        <f t="shared" si="0"/>
        <v>0</v>
      </c>
      <c r="I27" s="387"/>
    </row>
    <row r="28" spans="1:9">
      <c r="A28" s="481">
        <v>22</v>
      </c>
      <c r="B28" s="496" t="s">
        <v>538</v>
      </c>
      <c r="C28" s="719">
        <v>11085980.864000002</v>
      </c>
      <c r="D28" s="719">
        <v>226692.753214</v>
      </c>
      <c r="E28" s="719">
        <v>3051362.3606009032</v>
      </c>
      <c r="F28" s="719"/>
      <c r="G28" s="665"/>
      <c r="H28" s="626">
        <f t="shared" si="0"/>
        <v>8261311.2566130981</v>
      </c>
      <c r="I28" s="387"/>
    </row>
    <row r="29" spans="1:9">
      <c r="A29" s="481">
        <v>23</v>
      </c>
      <c r="B29" s="496" t="s">
        <v>539</v>
      </c>
      <c r="C29" s="719">
        <v>4785954.6318999995</v>
      </c>
      <c r="D29" s="719">
        <v>776096.46409999998</v>
      </c>
      <c r="E29" s="719">
        <v>1604389.1512104648</v>
      </c>
      <c r="F29" s="719"/>
      <c r="G29" s="665"/>
      <c r="H29" s="626">
        <f t="shared" si="0"/>
        <v>3957661.9447895344</v>
      </c>
      <c r="I29" s="387"/>
    </row>
    <row r="30" spans="1:9">
      <c r="A30" s="481">
        <v>24</v>
      </c>
      <c r="B30" s="496" t="s">
        <v>540</v>
      </c>
      <c r="C30" s="719">
        <v>0</v>
      </c>
      <c r="D30" s="719">
        <v>0</v>
      </c>
      <c r="E30" s="719">
        <v>0</v>
      </c>
      <c r="F30" s="719"/>
      <c r="G30" s="665"/>
      <c r="H30" s="626">
        <f t="shared" si="0"/>
        <v>0</v>
      </c>
      <c r="I30" s="387"/>
    </row>
    <row r="31" spans="1:9">
      <c r="A31" s="481">
        <v>25</v>
      </c>
      <c r="B31" s="496" t="s">
        <v>541</v>
      </c>
      <c r="C31" s="719">
        <v>968371</v>
      </c>
      <c r="D31" s="719">
        <v>6632241</v>
      </c>
      <c r="E31" s="719">
        <v>285871.10710849322</v>
      </c>
      <c r="F31" s="719"/>
      <c r="G31" s="665"/>
      <c r="H31" s="626">
        <f t="shared" si="0"/>
        <v>7314740.8928915067</v>
      </c>
      <c r="I31" s="387"/>
    </row>
    <row r="32" spans="1:9" ht="25.5">
      <c r="A32" s="481">
        <v>26</v>
      </c>
      <c r="B32" s="496" t="s">
        <v>542</v>
      </c>
      <c r="C32" s="719">
        <v>0</v>
      </c>
      <c r="D32" s="719">
        <v>0</v>
      </c>
      <c r="E32" s="719">
        <v>0</v>
      </c>
      <c r="F32" s="719"/>
      <c r="G32" s="665"/>
      <c r="H32" s="626">
        <f t="shared" si="0"/>
        <v>0</v>
      </c>
      <c r="I32" s="387"/>
    </row>
    <row r="33" spans="1:9">
      <c r="A33" s="481">
        <v>27</v>
      </c>
      <c r="B33" s="482" t="s">
        <v>99</v>
      </c>
      <c r="C33" s="719"/>
      <c r="D33" s="719">
        <v>272015911.15579998</v>
      </c>
      <c r="E33" s="719"/>
      <c r="F33" s="665">
        <f>'18. Assets by Exposure classes'!F20</f>
        <v>0</v>
      </c>
      <c r="G33" s="665"/>
      <c r="H33" s="626">
        <f t="shared" si="0"/>
        <v>272015911.15579998</v>
      </c>
      <c r="I33" s="787">
        <f>H33-'18. Assets by Exposure classes'!H20</f>
        <v>0</v>
      </c>
    </row>
    <row r="34" spans="1:9">
      <c r="A34" s="481">
        <v>28</v>
      </c>
      <c r="B34" s="495" t="s">
        <v>66</v>
      </c>
      <c r="C34" s="664">
        <f>SUM(C7:C33)</f>
        <v>114155845.41830002</v>
      </c>
      <c r="D34" s="664">
        <f>SUM(D7:D33)</f>
        <v>359670852.93059528</v>
      </c>
      <c r="E34" s="664">
        <f>SUM(E7:E33)</f>
        <v>23272413.562018882</v>
      </c>
      <c r="F34" s="664">
        <f>SUM(F7:F33)</f>
        <v>0</v>
      </c>
      <c r="G34" s="664">
        <f>SUM(G7:G33)</f>
        <v>0</v>
      </c>
      <c r="H34" s="626">
        <f t="shared" si="0"/>
        <v>450554284.78687644</v>
      </c>
      <c r="I34" s="387"/>
    </row>
    <row r="35" spans="1:9">
      <c r="A35" s="387"/>
      <c r="B35" s="387"/>
      <c r="C35" s="622">
        <f>C34-'18. Assets by Exposure classes'!C21</f>
        <v>-0.45134457945823669</v>
      </c>
      <c r="D35" s="625">
        <f>D34-'18. Assets by Exposure classes'!D21</f>
        <v>-1.5124053955078125</v>
      </c>
      <c r="E35" s="622">
        <f>SUM(E7:E31)-'18. Assets by Exposure classes'!E22-E8</f>
        <v>-1.4379811212420464</v>
      </c>
      <c r="F35" s="622">
        <f>SUM(F7:F31)-'18. Assets by Exposure classes'!F22</f>
        <v>0</v>
      </c>
      <c r="G35" s="625"/>
      <c r="H35" s="622">
        <f>H34-'18. Assets by Exposure classes'!H21</f>
        <v>-0.52576887607574463</v>
      </c>
      <c r="I35" s="387"/>
    </row>
    <row r="36" spans="1:9">
      <c r="A36" s="387"/>
      <c r="B36" s="388"/>
      <c r="C36" s="625"/>
      <c r="D36" s="625">
        <f>SUM(D7:D31)-'18. Assets by Exposure classes'!D22-D8-351</f>
        <v>0.48759461939334869</v>
      </c>
      <c r="E36" s="622"/>
      <c r="F36" s="625"/>
      <c r="G36" s="625"/>
      <c r="H36" s="625"/>
      <c r="I36" s="387"/>
    </row>
    <row r="37" spans="1:9">
      <c r="C37" s="685"/>
      <c r="D37" s="685"/>
      <c r="E37" s="685"/>
      <c r="F37" s="685"/>
      <c r="G37" s="685"/>
      <c r="H37" s="685"/>
    </row>
    <row r="38" spans="1:9">
      <c r="C38" s="685"/>
      <c r="D38" s="685"/>
      <c r="E38" s="685"/>
      <c r="F38" s="685"/>
      <c r="G38" s="685"/>
      <c r="H38" s="685"/>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80" zoomScaleNormal="80" workbookViewId="0">
      <selection activeCell="C14" sqref="C14"/>
    </sheetView>
  </sheetViews>
  <sheetFormatPr defaultColWidth="9.28515625" defaultRowHeight="12.75"/>
  <cols>
    <col min="1" max="1" width="11.7109375" style="380" bestFit="1" customWidth="1"/>
    <col min="2" max="2" width="108" style="380" bestFit="1" customWidth="1"/>
    <col min="3" max="3" width="35.5703125" style="380" customWidth="1"/>
    <col min="4" max="4" width="38.42578125" style="386" customWidth="1"/>
    <col min="5" max="16384" width="9.28515625" style="380"/>
  </cols>
  <sheetData>
    <row r="1" spans="1:4" ht="13.5">
      <c r="A1" s="379" t="s">
        <v>108</v>
      </c>
      <c r="B1" s="306" t="str">
        <f>Info!C2</f>
        <v>JSC "VTB Bank (Georgia)"</v>
      </c>
      <c r="D1" s="380"/>
    </row>
    <row r="2" spans="1:4">
      <c r="A2" s="381" t="s">
        <v>109</v>
      </c>
      <c r="B2" s="383">
        <f>Info!D2</f>
        <v>45657</v>
      </c>
      <c r="D2" s="380"/>
    </row>
    <row r="3" spans="1:4">
      <c r="A3" s="382" t="s">
        <v>543</v>
      </c>
      <c r="D3" s="380"/>
    </row>
    <row r="5" spans="1:4">
      <c r="A5" s="879" t="s">
        <v>880</v>
      </c>
      <c r="B5" s="879"/>
      <c r="C5" s="504" t="s">
        <v>562</v>
      </c>
      <c r="D5" s="504" t="s">
        <v>879</v>
      </c>
    </row>
    <row r="6" spans="1:4">
      <c r="A6" s="503">
        <v>1</v>
      </c>
      <c r="B6" s="497" t="s">
        <v>878</v>
      </c>
      <c r="C6" s="623">
        <v>17118429.730969127</v>
      </c>
      <c r="D6" s="725">
        <v>0</v>
      </c>
    </row>
    <row r="7" spans="1:4">
      <c r="A7" s="500">
        <v>2</v>
      </c>
      <c r="B7" s="497" t="s">
        <v>877</v>
      </c>
      <c r="C7" s="624">
        <f>SUM(C8:C9)</f>
        <v>0</v>
      </c>
      <c r="D7" s="726">
        <f>SUM(D8:D9)</f>
        <v>0</v>
      </c>
    </row>
    <row r="8" spans="1:4">
      <c r="A8" s="502">
        <v>2.1</v>
      </c>
      <c r="B8" s="501" t="s">
        <v>876</v>
      </c>
      <c r="C8" s="624"/>
      <c r="D8" s="726"/>
    </row>
    <row r="9" spans="1:4">
      <c r="A9" s="502">
        <v>2.2000000000000002</v>
      </c>
      <c r="B9" s="501" t="s">
        <v>875</v>
      </c>
      <c r="C9" s="624">
        <v>0</v>
      </c>
      <c r="D9" s="726"/>
    </row>
    <row r="10" spans="1:4">
      <c r="A10" s="503">
        <v>3</v>
      </c>
      <c r="B10" s="497" t="s">
        <v>874</v>
      </c>
      <c r="C10" s="624">
        <f>SUM(C11:C13)</f>
        <v>0</v>
      </c>
      <c r="D10" s="726">
        <f>SUM(D11:D13)</f>
        <v>0</v>
      </c>
    </row>
    <row r="11" spans="1:4">
      <c r="A11" s="502">
        <v>3.1</v>
      </c>
      <c r="B11" s="501" t="s">
        <v>544</v>
      </c>
      <c r="C11" s="624"/>
      <c r="D11" s="726">
        <v>0</v>
      </c>
    </row>
    <row r="12" spans="1:4">
      <c r="A12" s="502">
        <v>3.2</v>
      </c>
      <c r="B12" s="501" t="s">
        <v>873</v>
      </c>
      <c r="C12" s="624">
        <v>0</v>
      </c>
      <c r="D12" s="726"/>
    </row>
    <row r="13" spans="1:4">
      <c r="A13" s="502">
        <v>3.3</v>
      </c>
      <c r="B13" s="501" t="s">
        <v>872</v>
      </c>
      <c r="C13" s="624"/>
      <c r="D13" s="726"/>
    </row>
    <row r="14" spans="1:4">
      <c r="A14" s="500">
        <v>4</v>
      </c>
      <c r="B14" s="499" t="s">
        <v>871</v>
      </c>
      <c r="C14" s="624">
        <v>6153983.8310497599</v>
      </c>
      <c r="D14" s="726"/>
    </row>
    <row r="15" spans="1:4">
      <c r="A15" s="498">
        <v>5</v>
      </c>
      <c r="B15" s="497" t="s">
        <v>870</v>
      </c>
      <c r="C15" s="623">
        <f>C6+C7-C10+C14</f>
        <v>23272413.562018886</v>
      </c>
      <c r="D15" s="725">
        <f>D6+D7-D10+D14</f>
        <v>0</v>
      </c>
    </row>
    <row r="16" spans="1:4">
      <c r="C16" s="621">
        <f>C15-SUM('19. Assets by Risk Sectors'!E7:E32)-SUM('19. Assets by Risk Sectors'!F7:F32)</f>
        <v>3.7252902984619141E-9</v>
      </c>
    </row>
    <row r="17" spans="3:3">
      <c r="C17" s="630"/>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C7" sqref="C7:C18"/>
    </sheetView>
  </sheetViews>
  <sheetFormatPr defaultColWidth="9.28515625" defaultRowHeight="12.75"/>
  <cols>
    <col min="1" max="1" width="11.7109375" style="492" bestFit="1" customWidth="1"/>
    <col min="2" max="2" width="128.85546875" style="492" bestFit="1" customWidth="1"/>
    <col min="3" max="3" width="37" style="492" customWidth="1"/>
    <col min="4" max="4" width="50.5703125" style="492" customWidth="1"/>
    <col min="5" max="16384" width="9.28515625" style="492"/>
  </cols>
  <sheetData>
    <row r="1" spans="1:5" ht="13.5">
      <c r="A1" s="379" t="s">
        <v>108</v>
      </c>
      <c r="B1" s="306" t="str">
        <f>Info!C2</f>
        <v>JSC "VTB Bank (Georgia)"</v>
      </c>
    </row>
    <row r="2" spans="1:5">
      <c r="A2" s="381" t="s">
        <v>109</v>
      </c>
      <c r="B2" s="383">
        <f>Info!D2</f>
        <v>45657</v>
      </c>
    </row>
    <row r="3" spans="1:5">
      <c r="A3" s="382" t="s">
        <v>545</v>
      </c>
    </row>
    <row r="4" spans="1:5">
      <c r="A4" s="382"/>
    </row>
    <row r="5" spans="1:5" ht="15" customHeight="1">
      <c r="A5" s="880" t="s">
        <v>546</v>
      </c>
      <c r="B5" s="881"/>
      <c r="C5" s="884" t="s">
        <v>547</v>
      </c>
      <c r="D5" s="884" t="s">
        <v>548</v>
      </c>
    </row>
    <row r="6" spans="1:5">
      <c r="A6" s="882"/>
      <c r="B6" s="883"/>
      <c r="C6" s="884"/>
      <c r="D6" s="884"/>
    </row>
    <row r="7" spans="1:5">
      <c r="A7" s="495">
        <v>1</v>
      </c>
      <c r="B7" s="485" t="s">
        <v>549</v>
      </c>
      <c r="C7" s="721">
        <v>112736161.44666491</v>
      </c>
      <c r="D7" s="505"/>
    </row>
    <row r="8" spans="1:5">
      <c r="A8" s="482">
        <v>2</v>
      </c>
      <c r="B8" s="482" t="s">
        <v>550</v>
      </c>
      <c r="C8" s="719">
        <v>1140332.44</v>
      </c>
      <c r="D8" s="505"/>
    </row>
    <row r="9" spans="1:5">
      <c r="A9" s="482">
        <v>3</v>
      </c>
      <c r="B9" s="508" t="s">
        <v>551</v>
      </c>
      <c r="C9" s="719">
        <v>279352</v>
      </c>
      <c r="D9" s="505"/>
    </row>
    <row r="10" spans="1:5">
      <c r="A10" s="482">
        <v>4</v>
      </c>
      <c r="B10" s="482" t="s">
        <v>552</v>
      </c>
      <c r="C10" s="719">
        <f>SUM(C11:C17)</f>
        <v>0</v>
      </c>
      <c r="D10" s="505"/>
    </row>
    <row r="11" spans="1:5">
      <c r="A11" s="482">
        <v>5</v>
      </c>
      <c r="B11" s="507" t="s">
        <v>881</v>
      </c>
      <c r="C11" s="719">
        <v>0</v>
      </c>
      <c r="D11" s="505"/>
    </row>
    <row r="12" spans="1:5">
      <c r="A12" s="482">
        <v>6</v>
      </c>
      <c r="B12" s="507" t="s">
        <v>553</v>
      </c>
      <c r="C12" s="719">
        <v>0</v>
      </c>
      <c r="D12" s="505"/>
    </row>
    <row r="13" spans="1:5">
      <c r="A13" s="482">
        <v>7</v>
      </c>
      <c r="B13" s="507" t="s">
        <v>556</v>
      </c>
      <c r="C13" s="719">
        <v>0</v>
      </c>
      <c r="D13" s="505"/>
      <c r="E13" s="662">
        <f>C13-'18. Assets by Exposure classes'!H11</f>
        <v>0</v>
      </c>
    </row>
    <row r="14" spans="1:5">
      <c r="A14" s="482">
        <v>8</v>
      </c>
      <c r="B14" s="507" t="s">
        <v>554</v>
      </c>
      <c r="C14" s="719">
        <v>0</v>
      </c>
      <c r="D14" s="482"/>
    </row>
    <row r="15" spans="1:5">
      <c r="A15" s="482">
        <v>9</v>
      </c>
      <c r="B15" s="507" t="s">
        <v>555</v>
      </c>
      <c r="C15" s="719">
        <v>0</v>
      </c>
      <c r="D15" s="482"/>
    </row>
    <row r="16" spans="1:5">
      <c r="A16" s="482">
        <v>10</v>
      </c>
      <c r="B16" s="507" t="s">
        <v>557</v>
      </c>
      <c r="C16" s="719">
        <v>0</v>
      </c>
      <c r="D16" s="482"/>
    </row>
    <row r="17" spans="1:4" ht="25.5">
      <c r="A17" s="482">
        <v>11</v>
      </c>
      <c r="B17" s="507" t="s">
        <v>558</v>
      </c>
      <c r="C17" s="719">
        <v>0</v>
      </c>
      <c r="D17" s="505"/>
    </row>
    <row r="18" spans="1:4">
      <c r="A18" s="495">
        <v>12</v>
      </c>
      <c r="B18" s="506" t="s">
        <v>559</v>
      </c>
      <c r="C18" s="721">
        <f>C7+C8+C9-C10</f>
        <v>114155845.88666491</v>
      </c>
      <c r="D18" s="505"/>
    </row>
    <row r="19" spans="1:4">
      <c r="C19" s="788">
        <f>C18-'18. Assets by Exposure classes'!C22</f>
        <v>1.7020314931869507E-2</v>
      </c>
    </row>
    <row r="20" spans="1:4">
      <c r="C20" s="663"/>
    </row>
    <row r="21" spans="1:4">
      <c r="B21" s="379"/>
      <c r="C21" s="663"/>
    </row>
    <row r="22" spans="1:4">
      <c r="B22" s="381"/>
    </row>
    <row r="23" spans="1:4">
      <c r="B23" s="382"/>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8"/>
  <sheetViews>
    <sheetView showGridLines="0" zoomScale="70" zoomScaleNormal="70" workbookViewId="0">
      <selection activeCell="A42" sqref="A42"/>
    </sheetView>
  </sheetViews>
  <sheetFormatPr defaultColWidth="9.28515625" defaultRowHeight="12.75"/>
  <cols>
    <col min="1" max="1" width="11.7109375" style="492" bestFit="1" customWidth="1"/>
    <col min="2" max="2" width="63.85546875" style="492" customWidth="1"/>
    <col min="3" max="3" width="17" style="492" bestFit="1" customWidth="1"/>
    <col min="4" max="18" width="22.28515625" style="492" customWidth="1"/>
    <col min="19" max="19" width="23.28515625" style="492" bestFit="1" customWidth="1"/>
    <col min="20" max="26" width="22.28515625" style="492" customWidth="1"/>
    <col min="27" max="27" width="23.28515625" style="492" bestFit="1" customWidth="1"/>
    <col min="28" max="28" width="20" style="492" customWidth="1"/>
    <col min="29" max="16384" width="9.28515625" style="492"/>
  </cols>
  <sheetData>
    <row r="1" spans="1:28" ht="13.5">
      <c r="A1" s="379" t="s">
        <v>108</v>
      </c>
      <c r="B1" s="306" t="str">
        <f>Info!C2</f>
        <v>JSC "VTB Bank (Georgia)"</v>
      </c>
    </row>
    <row r="2" spans="1:28">
      <c r="A2" s="381" t="s">
        <v>109</v>
      </c>
      <c r="B2" s="383">
        <f>Info!D2</f>
        <v>45657</v>
      </c>
      <c r="C2" s="493"/>
    </row>
    <row r="3" spans="1:28">
      <c r="A3" s="382" t="s">
        <v>560</v>
      </c>
      <c r="D3" s="799">
        <f>D8-'24. Risk Sector'!D33</f>
        <v>0.53693199157714844</v>
      </c>
      <c r="H3" s="799">
        <f>H8-'24. Risk Sector'!E33</f>
        <v>0</v>
      </c>
      <c r="L3" s="799">
        <f>L8-'23. LTV'!L8</f>
        <v>1.0556300133466721</v>
      </c>
    </row>
    <row r="4" spans="1:28">
      <c r="C4" s="799">
        <f>C8-'24. Risk Sector'!C33</f>
        <v>0.96876806020736694</v>
      </c>
      <c r="D4" s="799">
        <f>D8-'23. LTV'!D8</f>
        <v>0.38195999711751938</v>
      </c>
      <c r="H4" s="799">
        <f>H8-'23. LTV'!H8</f>
        <v>0</v>
      </c>
      <c r="L4" s="799">
        <f>L8-'24. Risk Sector'!F33</f>
        <v>-1.0710015892982483E-2</v>
      </c>
    </row>
    <row r="5" spans="1:28" ht="15" customHeight="1">
      <c r="A5" s="885" t="s">
        <v>894</v>
      </c>
      <c r="B5" s="886"/>
      <c r="C5" s="891" t="s">
        <v>893</v>
      </c>
      <c r="D5" s="892"/>
      <c r="E5" s="892"/>
      <c r="F5" s="892"/>
      <c r="G5" s="892"/>
      <c r="H5" s="892"/>
      <c r="I5" s="892"/>
      <c r="J5" s="892"/>
      <c r="K5" s="892"/>
      <c r="L5" s="892"/>
      <c r="M5" s="892"/>
      <c r="N5" s="892"/>
      <c r="O5" s="892"/>
      <c r="P5" s="892"/>
      <c r="Q5" s="892"/>
      <c r="R5" s="892"/>
      <c r="S5" s="892"/>
      <c r="T5" s="523"/>
      <c r="U5" s="523"/>
      <c r="V5" s="523"/>
      <c r="W5" s="523"/>
      <c r="X5" s="523"/>
      <c r="Y5" s="523"/>
      <c r="Z5" s="523"/>
      <c r="AA5" s="522"/>
      <c r="AB5" s="513"/>
    </row>
    <row r="6" spans="1:28">
      <c r="A6" s="887"/>
      <c r="B6" s="888"/>
      <c r="C6" s="893" t="s">
        <v>66</v>
      </c>
      <c r="D6" s="895" t="s">
        <v>892</v>
      </c>
      <c r="E6" s="895"/>
      <c r="F6" s="895"/>
      <c r="G6" s="895"/>
      <c r="H6" s="896" t="s">
        <v>891</v>
      </c>
      <c r="I6" s="897"/>
      <c r="J6" s="897"/>
      <c r="K6" s="898"/>
      <c r="L6" s="521"/>
      <c r="M6" s="899" t="s">
        <v>890</v>
      </c>
      <c r="N6" s="899"/>
      <c r="O6" s="899"/>
      <c r="P6" s="899"/>
      <c r="Q6" s="899"/>
      <c r="R6" s="899"/>
      <c r="S6" s="875"/>
      <c r="T6" s="520"/>
      <c r="U6" s="878" t="s">
        <v>889</v>
      </c>
      <c r="V6" s="878"/>
      <c r="W6" s="878"/>
      <c r="X6" s="878"/>
      <c r="Y6" s="878"/>
      <c r="Z6" s="878"/>
      <c r="AA6" s="876"/>
      <c r="AB6" s="519"/>
    </row>
    <row r="7" spans="1:28" ht="25.5">
      <c r="A7" s="889"/>
      <c r="B7" s="890"/>
      <c r="C7" s="894"/>
      <c r="D7" s="518"/>
      <c r="E7" s="514" t="s">
        <v>561</v>
      </c>
      <c r="F7" s="489" t="s">
        <v>887</v>
      </c>
      <c r="G7" s="489" t="s">
        <v>888</v>
      </c>
      <c r="H7" s="517"/>
      <c r="I7" s="514" t="s">
        <v>561</v>
      </c>
      <c r="J7" s="489" t="s">
        <v>887</v>
      </c>
      <c r="K7" s="489" t="s">
        <v>888</v>
      </c>
      <c r="L7" s="516"/>
      <c r="M7" s="514" t="s">
        <v>561</v>
      </c>
      <c r="N7" s="489" t="s">
        <v>887</v>
      </c>
      <c r="O7" s="489" t="s">
        <v>886</v>
      </c>
      <c r="P7" s="489" t="s">
        <v>885</v>
      </c>
      <c r="Q7" s="489" t="s">
        <v>884</v>
      </c>
      <c r="R7" s="489" t="s">
        <v>883</v>
      </c>
      <c r="S7" s="489" t="s">
        <v>882</v>
      </c>
      <c r="T7" s="515"/>
      <c r="U7" s="514" t="s">
        <v>561</v>
      </c>
      <c r="V7" s="489" t="s">
        <v>887</v>
      </c>
      <c r="W7" s="489" t="s">
        <v>886</v>
      </c>
      <c r="X7" s="489" t="s">
        <v>885</v>
      </c>
      <c r="Y7" s="489" t="s">
        <v>884</v>
      </c>
      <c r="Z7" s="489" t="s">
        <v>883</v>
      </c>
      <c r="AA7" s="489" t="s">
        <v>882</v>
      </c>
      <c r="AB7" s="513"/>
    </row>
    <row r="8" spans="1:28">
      <c r="A8" s="512">
        <v>1</v>
      </c>
      <c r="B8" s="485" t="s">
        <v>562</v>
      </c>
      <c r="C8" s="693">
        <f>SUM(C9:C14)</f>
        <v>194982467.91839334</v>
      </c>
      <c r="D8" s="693">
        <f t="shared" ref="D8:S8" si="0">SUM(D9:D14)</f>
        <v>56842081.381959997</v>
      </c>
      <c r="E8" s="693">
        <f t="shared" si="0"/>
        <v>56842081.381959997</v>
      </c>
      <c r="F8" s="693">
        <f t="shared" si="0"/>
        <v>0</v>
      </c>
      <c r="G8" s="693">
        <f t="shared" si="0"/>
        <v>0</v>
      </c>
      <c r="H8" s="693">
        <f t="shared" si="0"/>
        <v>23984540.317943323</v>
      </c>
      <c r="I8" s="693">
        <f t="shared" si="0"/>
        <v>21972444.992578696</v>
      </c>
      <c r="J8" s="693">
        <f t="shared" si="0"/>
        <v>2012095.3253646281</v>
      </c>
      <c r="K8" s="693">
        <f t="shared" si="0"/>
        <v>0</v>
      </c>
      <c r="L8" s="693">
        <f t="shared" si="0"/>
        <v>114155846.21849</v>
      </c>
      <c r="M8" s="693">
        <f t="shared" si="0"/>
        <v>32984586.055629998</v>
      </c>
      <c r="N8" s="693">
        <f t="shared" si="0"/>
        <v>795982.30527000001</v>
      </c>
      <c r="O8" s="693">
        <f t="shared" si="0"/>
        <v>5074270.2300000004</v>
      </c>
      <c r="P8" s="693">
        <f t="shared" si="0"/>
        <v>4471874.1409999998</v>
      </c>
      <c r="Q8" s="693">
        <f t="shared" si="0"/>
        <v>10900609.075270006</v>
      </c>
      <c r="R8" s="693">
        <f t="shared" si="0"/>
        <v>59519820.649719998</v>
      </c>
      <c r="S8" s="693">
        <f t="shared" si="0"/>
        <v>408703.76159999997</v>
      </c>
      <c r="T8" s="693">
        <f t="shared" ref="T8:U8" si="1">SUM(T9:T14)</f>
        <v>0</v>
      </c>
      <c r="U8" s="693">
        <f t="shared" si="1"/>
        <v>0</v>
      </c>
      <c r="V8" s="481"/>
      <c r="W8" s="481"/>
      <c r="X8" s="481"/>
      <c r="Y8" s="481"/>
      <c r="Z8" s="481"/>
      <c r="AA8" s="481"/>
      <c r="AB8" s="509"/>
    </row>
    <row r="9" spans="1:28">
      <c r="A9" s="481">
        <v>1.1000000000000001</v>
      </c>
      <c r="B9" s="511" t="s">
        <v>563</v>
      </c>
      <c r="C9" s="754"/>
      <c r="D9" s="719">
        <f>SUM(E9:G9)</f>
        <v>0</v>
      </c>
      <c r="E9" s="719"/>
      <c r="F9" s="719"/>
      <c r="G9" s="719"/>
      <c r="H9" s="719">
        <f>SUM(I9:K9)</f>
        <v>0</v>
      </c>
      <c r="I9" s="719"/>
      <c r="J9" s="719"/>
      <c r="K9" s="719"/>
      <c r="L9" s="719">
        <f>SUM(M9:S9)</f>
        <v>0</v>
      </c>
      <c r="M9" s="719"/>
      <c r="N9" s="719"/>
      <c r="O9" s="719"/>
      <c r="P9" s="719"/>
      <c r="Q9" s="719"/>
      <c r="R9" s="719"/>
      <c r="S9" s="755"/>
      <c r="T9" s="481"/>
      <c r="U9" s="481"/>
      <c r="V9" s="481"/>
      <c r="W9" s="481"/>
      <c r="X9" s="481"/>
      <c r="Y9" s="481"/>
      <c r="Z9" s="481"/>
      <c r="AA9" s="481"/>
      <c r="AB9" s="509"/>
    </row>
    <row r="10" spans="1:28">
      <c r="A10" s="481">
        <v>1.2</v>
      </c>
      <c r="B10" s="511" t="s">
        <v>564</v>
      </c>
      <c r="C10" s="754"/>
      <c r="D10" s="719">
        <f t="shared" ref="D10:D14" si="2">SUM(E10:G10)</f>
        <v>0</v>
      </c>
      <c r="E10" s="719"/>
      <c r="F10" s="719"/>
      <c r="G10" s="719"/>
      <c r="H10" s="719">
        <f t="shared" ref="H10:H14" si="3">SUM(I10:K10)</f>
        <v>0</v>
      </c>
      <c r="I10" s="719"/>
      <c r="J10" s="719"/>
      <c r="K10" s="719"/>
      <c r="L10" s="719">
        <f t="shared" ref="L10:L14" si="4">SUM(M10:S10)</f>
        <v>0</v>
      </c>
      <c r="M10" s="719"/>
      <c r="N10" s="719"/>
      <c r="O10" s="719"/>
      <c r="P10" s="719"/>
      <c r="Q10" s="719"/>
      <c r="R10" s="719"/>
      <c r="S10" s="755"/>
      <c r="T10" s="481"/>
      <c r="U10" s="481"/>
      <c r="V10" s="481"/>
      <c r="W10" s="481"/>
      <c r="X10" s="481"/>
      <c r="Y10" s="481"/>
      <c r="Z10" s="481"/>
      <c r="AA10" s="481"/>
      <c r="AB10" s="509"/>
    </row>
    <row r="11" spans="1:28">
      <c r="A11" s="481">
        <v>1.3</v>
      </c>
      <c r="B11" s="511" t="s">
        <v>565</v>
      </c>
      <c r="C11" s="754"/>
      <c r="D11" s="719">
        <f t="shared" si="2"/>
        <v>0</v>
      </c>
      <c r="E11" s="719"/>
      <c r="F11" s="719"/>
      <c r="G11" s="719"/>
      <c r="H11" s="719">
        <f t="shared" si="3"/>
        <v>0</v>
      </c>
      <c r="I11" s="719"/>
      <c r="J11" s="719"/>
      <c r="K11" s="719"/>
      <c r="L11" s="719">
        <f t="shared" si="4"/>
        <v>0</v>
      </c>
      <c r="M11" s="719"/>
      <c r="N11" s="719"/>
      <c r="O11" s="719"/>
      <c r="P11" s="719"/>
      <c r="Q11" s="719"/>
      <c r="R11" s="719"/>
      <c r="S11" s="755"/>
      <c r="T11" s="481"/>
      <c r="U11" s="481"/>
      <c r="V11" s="481"/>
      <c r="W11" s="481"/>
      <c r="X11" s="481"/>
      <c r="Y11" s="481"/>
      <c r="Z11" s="481"/>
      <c r="AA11" s="481"/>
      <c r="AB11" s="509"/>
    </row>
    <row r="12" spans="1:28">
      <c r="A12" s="481">
        <v>1.4</v>
      </c>
      <c r="B12" s="511" t="s">
        <v>566</v>
      </c>
      <c r="C12" s="754">
        <f>SUM(D12,H12,L12,)</f>
        <v>331463.22000000003</v>
      </c>
      <c r="D12" s="719">
        <f t="shared" si="2"/>
        <v>331463.22000000003</v>
      </c>
      <c r="E12" s="719">
        <v>331463.22000000003</v>
      </c>
      <c r="F12" s="719">
        <v>0</v>
      </c>
      <c r="G12" s="719">
        <v>0</v>
      </c>
      <c r="H12" s="719">
        <f t="shared" si="3"/>
        <v>0</v>
      </c>
      <c r="I12" s="719">
        <v>0</v>
      </c>
      <c r="J12" s="719">
        <v>0</v>
      </c>
      <c r="K12" s="719">
        <v>0</v>
      </c>
      <c r="L12" s="719">
        <f t="shared" si="4"/>
        <v>0</v>
      </c>
      <c r="M12" s="719">
        <v>0</v>
      </c>
      <c r="N12" s="719">
        <v>0</v>
      </c>
      <c r="O12" s="719">
        <v>0</v>
      </c>
      <c r="P12" s="719">
        <v>0</v>
      </c>
      <c r="Q12" s="719">
        <v>0</v>
      </c>
      <c r="R12" s="719">
        <v>0</v>
      </c>
      <c r="S12" s="755">
        <v>0</v>
      </c>
      <c r="T12" s="481"/>
      <c r="U12" s="481"/>
      <c r="V12" s="481"/>
      <c r="W12" s="481"/>
      <c r="X12" s="481"/>
      <c r="Y12" s="481"/>
      <c r="Z12" s="481"/>
      <c r="AA12" s="481"/>
      <c r="AB12" s="509"/>
    </row>
    <row r="13" spans="1:28">
      <c r="A13" s="481">
        <v>1.5</v>
      </c>
      <c r="B13" s="511" t="s">
        <v>567</v>
      </c>
      <c r="C13" s="754">
        <f>SUM(D13,H13,L13,)</f>
        <v>183994690.02186334</v>
      </c>
      <c r="D13" s="719">
        <f t="shared" si="2"/>
        <v>49322406</v>
      </c>
      <c r="E13" s="719">
        <v>49322406</v>
      </c>
      <c r="F13" s="719">
        <v>0</v>
      </c>
      <c r="G13" s="719">
        <v>0</v>
      </c>
      <c r="H13" s="719">
        <f t="shared" si="3"/>
        <v>23979281.237943325</v>
      </c>
      <c r="I13" s="719">
        <v>21972444.992578696</v>
      </c>
      <c r="J13" s="719">
        <v>2006836.245364628</v>
      </c>
      <c r="K13" s="719">
        <v>0</v>
      </c>
      <c r="L13" s="719">
        <f t="shared" si="4"/>
        <v>110693002.78392</v>
      </c>
      <c r="M13" s="719">
        <v>32882663</v>
      </c>
      <c r="N13" s="719">
        <v>775295.86</v>
      </c>
      <c r="O13" s="719">
        <v>5069548.5200000005</v>
      </c>
      <c r="P13" s="719">
        <v>4460673.6409999998</v>
      </c>
      <c r="Q13" s="719">
        <v>9232174.4916000068</v>
      </c>
      <c r="R13" s="719">
        <v>57863943.509719998</v>
      </c>
      <c r="S13" s="755">
        <v>408703.76159999997</v>
      </c>
      <c r="T13" s="481"/>
      <c r="U13" s="481"/>
      <c r="V13" s="481"/>
      <c r="W13" s="481"/>
      <c r="X13" s="481"/>
      <c r="Y13" s="481"/>
      <c r="Z13" s="481"/>
      <c r="AA13" s="481"/>
      <c r="AB13" s="509"/>
    </row>
    <row r="14" spans="1:28">
      <c r="A14" s="481">
        <v>1.6</v>
      </c>
      <c r="B14" s="511" t="s">
        <v>568</v>
      </c>
      <c r="C14" s="754">
        <f>SUM(D14,H14,L14,)</f>
        <v>10656314.676529998</v>
      </c>
      <c r="D14" s="719">
        <f t="shared" si="2"/>
        <v>7188212.1619599974</v>
      </c>
      <c r="E14" s="719">
        <v>7188212.1619599974</v>
      </c>
      <c r="F14" s="719">
        <v>0</v>
      </c>
      <c r="G14" s="719">
        <v>0</v>
      </c>
      <c r="H14" s="719">
        <f t="shared" si="3"/>
        <v>5259.08</v>
      </c>
      <c r="I14" s="719">
        <v>0</v>
      </c>
      <c r="J14" s="719">
        <v>5259.08</v>
      </c>
      <c r="K14" s="719">
        <v>0</v>
      </c>
      <c r="L14" s="719">
        <f t="shared" si="4"/>
        <v>3462843.43457</v>
      </c>
      <c r="M14" s="719">
        <v>101923.05563</v>
      </c>
      <c r="N14" s="719">
        <v>20686.445270000004</v>
      </c>
      <c r="O14" s="719">
        <v>4721.71</v>
      </c>
      <c r="P14" s="719">
        <v>11200.499999999998</v>
      </c>
      <c r="Q14" s="719">
        <v>1668434.5836700001</v>
      </c>
      <c r="R14" s="719">
        <v>1655877.14</v>
      </c>
      <c r="S14" s="755">
        <v>0</v>
      </c>
      <c r="T14" s="481"/>
      <c r="U14" s="481"/>
      <c r="V14" s="481"/>
      <c r="W14" s="481"/>
      <c r="X14" s="481"/>
      <c r="Y14" s="481"/>
      <c r="Z14" s="481"/>
      <c r="AA14" s="481"/>
      <c r="AB14" s="509"/>
    </row>
    <row r="15" spans="1:28">
      <c r="A15" s="512">
        <v>2</v>
      </c>
      <c r="B15" s="495" t="s">
        <v>569</v>
      </c>
      <c r="C15" s="693">
        <f>SUM(C16:C21)</f>
        <v>0</v>
      </c>
      <c r="D15" s="693">
        <f>SUM(D16:D21)</f>
        <v>0</v>
      </c>
      <c r="E15" s="693">
        <f t="shared" ref="E15:S15" si="5">SUM(E16:E21)</f>
        <v>0</v>
      </c>
      <c r="F15" s="693">
        <f t="shared" si="5"/>
        <v>0</v>
      </c>
      <c r="G15" s="693">
        <f t="shared" si="5"/>
        <v>0</v>
      </c>
      <c r="H15" s="693">
        <f t="shared" si="5"/>
        <v>0</v>
      </c>
      <c r="I15" s="693">
        <f t="shared" si="5"/>
        <v>0</v>
      </c>
      <c r="J15" s="693">
        <f t="shared" si="5"/>
        <v>0</v>
      </c>
      <c r="K15" s="693">
        <f t="shared" si="5"/>
        <v>0</v>
      </c>
      <c r="L15" s="693">
        <f t="shared" si="5"/>
        <v>0</v>
      </c>
      <c r="M15" s="693">
        <f t="shared" si="5"/>
        <v>0</v>
      </c>
      <c r="N15" s="693">
        <f t="shared" si="5"/>
        <v>0</v>
      </c>
      <c r="O15" s="693">
        <f t="shared" si="5"/>
        <v>0</v>
      </c>
      <c r="P15" s="693">
        <f t="shared" si="5"/>
        <v>0</v>
      </c>
      <c r="Q15" s="693">
        <f t="shared" si="5"/>
        <v>0</v>
      </c>
      <c r="R15" s="693">
        <f t="shared" si="5"/>
        <v>0</v>
      </c>
      <c r="S15" s="693">
        <f t="shared" si="5"/>
        <v>0</v>
      </c>
      <c r="T15" s="693">
        <f t="shared" ref="T15:U15" si="6">SUM(T16:T21)</f>
        <v>0</v>
      </c>
      <c r="U15" s="693">
        <f t="shared" si="6"/>
        <v>0</v>
      </c>
      <c r="V15" s="481"/>
      <c r="W15" s="481"/>
      <c r="X15" s="481"/>
      <c r="Y15" s="481"/>
      <c r="Z15" s="481"/>
      <c r="AA15" s="481"/>
      <c r="AB15" s="509"/>
    </row>
    <row r="16" spans="1:28">
      <c r="A16" s="481">
        <v>2.1</v>
      </c>
      <c r="B16" s="511" t="s">
        <v>563</v>
      </c>
      <c r="C16" s="756"/>
      <c r="D16" s="755"/>
      <c r="E16" s="755"/>
      <c r="F16" s="755"/>
      <c r="G16" s="755"/>
      <c r="H16" s="755"/>
      <c r="I16" s="755"/>
      <c r="J16" s="755"/>
      <c r="K16" s="755"/>
      <c r="L16" s="755"/>
      <c r="M16" s="755"/>
      <c r="N16" s="755"/>
      <c r="O16" s="755"/>
      <c r="P16" s="755"/>
      <c r="Q16" s="755"/>
      <c r="R16" s="755"/>
      <c r="S16" s="755"/>
      <c r="T16" s="481"/>
      <c r="U16" s="481"/>
      <c r="V16" s="481"/>
      <c r="W16" s="481"/>
      <c r="X16" s="481"/>
      <c r="Y16" s="481"/>
      <c r="Z16" s="481"/>
      <c r="AA16" s="481"/>
      <c r="AB16" s="509"/>
    </row>
    <row r="17" spans="1:28">
      <c r="A17" s="481">
        <v>2.2000000000000002</v>
      </c>
      <c r="B17" s="511" t="s">
        <v>564</v>
      </c>
      <c r="C17" s="756"/>
      <c r="D17" s="755"/>
      <c r="E17" s="755"/>
      <c r="F17" s="755"/>
      <c r="G17" s="755"/>
      <c r="H17" s="755"/>
      <c r="I17" s="755"/>
      <c r="J17" s="755"/>
      <c r="K17" s="755"/>
      <c r="L17" s="755"/>
      <c r="M17" s="755"/>
      <c r="N17" s="755"/>
      <c r="O17" s="755"/>
      <c r="P17" s="755"/>
      <c r="Q17" s="755"/>
      <c r="R17" s="755"/>
      <c r="S17" s="755"/>
      <c r="T17" s="481"/>
      <c r="U17" s="481"/>
      <c r="V17" s="481"/>
      <c r="W17" s="481"/>
      <c r="X17" s="481"/>
      <c r="Y17" s="481"/>
      <c r="Z17" s="481"/>
      <c r="AA17" s="481"/>
      <c r="AB17" s="509"/>
    </row>
    <row r="18" spans="1:28">
      <c r="A18" s="481">
        <v>2.2999999999999998</v>
      </c>
      <c r="B18" s="511" t="s">
        <v>565</v>
      </c>
      <c r="C18" s="756"/>
      <c r="D18" s="755"/>
      <c r="E18" s="755"/>
      <c r="F18" s="755"/>
      <c r="G18" s="755"/>
      <c r="H18" s="755"/>
      <c r="I18" s="755"/>
      <c r="J18" s="755"/>
      <c r="K18" s="755"/>
      <c r="L18" s="755"/>
      <c r="M18" s="755"/>
      <c r="N18" s="755"/>
      <c r="O18" s="755"/>
      <c r="P18" s="755"/>
      <c r="Q18" s="755"/>
      <c r="R18" s="755"/>
      <c r="S18" s="755"/>
      <c r="T18" s="481"/>
      <c r="U18" s="481"/>
      <c r="V18" s="481"/>
      <c r="W18" s="481"/>
      <c r="X18" s="481"/>
      <c r="Y18" s="481"/>
      <c r="Z18" s="481"/>
      <c r="AA18" s="481"/>
      <c r="AB18" s="509"/>
    </row>
    <row r="19" spans="1:28">
      <c r="A19" s="481">
        <v>2.4</v>
      </c>
      <c r="B19" s="511" t="s">
        <v>566</v>
      </c>
      <c r="C19" s="756"/>
      <c r="D19" s="755"/>
      <c r="E19" s="755"/>
      <c r="F19" s="755"/>
      <c r="G19" s="755"/>
      <c r="H19" s="755"/>
      <c r="I19" s="755"/>
      <c r="J19" s="755"/>
      <c r="K19" s="755"/>
      <c r="L19" s="755"/>
      <c r="M19" s="755"/>
      <c r="N19" s="755"/>
      <c r="O19" s="755"/>
      <c r="P19" s="755"/>
      <c r="Q19" s="755"/>
      <c r="R19" s="755"/>
      <c r="S19" s="755"/>
      <c r="T19" s="481"/>
      <c r="U19" s="481"/>
      <c r="V19" s="481"/>
      <c r="W19" s="481"/>
      <c r="X19" s="481"/>
      <c r="Y19" s="481"/>
      <c r="Z19" s="481"/>
      <c r="AA19" s="481"/>
      <c r="AB19" s="509"/>
    </row>
    <row r="20" spans="1:28">
      <c r="A20" s="481">
        <v>2.5</v>
      </c>
      <c r="B20" s="511" t="s">
        <v>567</v>
      </c>
      <c r="C20" s="756"/>
      <c r="D20" s="755"/>
      <c r="E20" s="755"/>
      <c r="F20" s="755"/>
      <c r="G20" s="755"/>
      <c r="H20" s="755"/>
      <c r="I20" s="755"/>
      <c r="J20" s="755"/>
      <c r="K20" s="755"/>
      <c r="L20" s="755"/>
      <c r="M20" s="755"/>
      <c r="N20" s="755"/>
      <c r="O20" s="755"/>
      <c r="P20" s="755"/>
      <c r="Q20" s="755"/>
      <c r="R20" s="755"/>
      <c r="S20" s="755"/>
      <c r="T20" s="481"/>
      <c r="U20" s="481"/>
      <c r="V20" s="481"/>
      <c r="W20" s="481"/>
      <c r="X20" s="481"/>
      <c r="Y20" s="481"/>
      <c r="Z20" s="481"/>
      <c r="AA20" s="481"/>
      <c r="AB20" s="509"/>
    </row>
    <row r="21" spans="1:28">
      <c r="A21" s="481">
        <v>2.6</v>
      </c>
      <c r="B21" s="511" t="s">
        <v>568</v>
      </c>
      <c r="C21" s="756"/>
      <c r="D21" s="755"/>
      <c r="E21" s="755"/>
      <c r="F21" s="755"/>
      <c r="G21" s="755"/>
      <c r="H21" s="755"/>
      <c r="I21" s="755"/>
      <c r="J21" s="755"/>
      <c r="K21" s="755"/>
      <c r="L21" s="755"/>
      <c r="M21" s="755"/>
      <c r="N21" s="755"/>
      <c r="O21" s="755"/>
      <c r="P21" s="755"/>
      <c r="Q21" s="755"/>
      <c r="R21" s="755"/>
      <c r="S21" s="755"/>
      <c r="T21" s="481"/>
      <c r="U21" s="481"/>
      <c r="V21" s="481"/>
      <c r="W21" s="481"/>
      <c r="X21" s="481"/>
      <c r="Y21" s="481"/>
      <c r="Z21" s="481"/>
      <c r="AA21" s="481"/>
      <c r="AB21" s="509"/>
    </row>
    <row r="22" spans="1:28">
      <c r="A22" s="512">
        <v>3</v>
      </c>
      <c r="B22" s="485" t="s">
        <v>570</v>
      </c>
      <c r="C22" s="693">
        <f>SUM(C23:C28)</f>
        <v>216247.52669999999</v>
      </c>
      <c r="D22" s="693">
        <f>SUM(D23:D28)</f>
        <v>216247.52669999999</v>
      </c>
      <c r="E22" s="693">
        <f t="shared" ref="E22:S22" si="7">SUM(E23:E28)</f>
        <v>0</v>
      </c>
      <c r="F22" s="694">
        <f t="shared" si="7"/>
        <v>0</v>
      </c>
      <c r="G22" s="693">
        <f t="shared" si="7"/>
        <v>0</v>
      </c>
      <c r="H22" s="694">
        <f t="shared" si="7"/>
        <v>0</v>
      </c>
      <c r="I22" s="694">
        <f t="shared" si="7"/>
        <v>0</v>
      </c>
      <c r="J22" s="694">
        <f t="shared" si="7"/>
        <v>0</v>
      </c>
      <c r="K22" s="694">
        <f t="shared" si="7"/>
        <v>0</v>
      </c>
      <c r="L22" s="693">
        <f t="shared" si="7"/>
        <v>0</v>
      </c>
      <c r="M22" s="694">
        <f t="shared" si="7"/>
        <v>0</v>
      </c>
      <c r="N22" s="694">
        <f t="shared" si="7"/>
        <v>0</v>
      </c>
      <c r="O22" s="694">
        <f t="shared" si="7"/>
        <v>0</v>
      </c>
      <c r="P22" s="694">
        <f t="shared" si="7"/>
        <v>0</v>
      </c>
      <c r="Q22" s="694">
        <f t="shared" si="7"/>
        <v>0</v>
      </c>
      <c r="R22" s="694">
        <f t="shared" si="7"/>
        <v>0</v>
      </c>
      <c r="S22" s="694">
        <f t="shared" si="7"/>
        <v>0</v>
      </c>
      <c r="T22" s="694">
        <f t="shared" ref="T22:U22" si="8">SUM(T23:T28)</f>
        <v>0</v>
      </c>
      <c r="U22" s="693">
        <f t="shared" si="8"/>
        <v>0</v>
      </c>
      <c r="V22" s="510"/>
      <c r="W22" s="510"/>
      <c r="X22" s="510"/>
      <c r="Y22" s="510"/>
      <c r="Z22" s="510"/>
      <c r="AA22" s="510"/>
      <c r="AB22" s="509"/>
    </row>
    <row r="23" spans="1:28">
      <c r="A23" s="481">
        <v>3.1</v>
      </c>
      <c r="B23" s="511" t="s">
        <v>563</v>
      </c>
      <c r="C23" s="757"/>
      <c r="D23" s="758"/>
      <c r="E23" s="759"/>
      <c r="F23" s="759"/>
      <c r="G23" s="759"/>
      <c r="H23" s="758"/>
      <c r="I23" s="759"/>
      <c r="J23" s="759"/>
      <c r="K23" s="759"/>
      <c r="L23" s="758"/>
      <c r="M23" s="759"/>
      <c r="N23" s="759"/>
      <c r="O23" s="759"/>
      <c r="P23" s="759"/>
      <c r="Q23" s="759"/>
      <c r="R23" s="759"/>
      <c r="S23" s="760"/>
      <c r="T23" s="485"/>
      <c r="U23" s="510"/>
      <c r="V23" s="510"/>
      <c r="W23" s="510"/>
      <c r="X23" s="510"/>
      <c r="Y23" s="510"/>
      <c r="Z23" s="510"/>
      <c r="AA23" s="510"/>
      <c r="AB23" s="509"/>
    </row>
    <row r="24" spans="1:28">
      <c r="A24" s="481">
        <v>3.2</v>
      </c>
      <c r="B24" s="511" t="s">
        <v>564</v>
      </c>
      <c r="C24" s="757"/>
      <c r="D24" s="758"/>
      <c r="E24" s="759"/>
      <c r="F24" s="759"/>
      <c r="G24" s="759"/>
      <c r="H24" s="758"/>
      <c r="I24" s="759"/>
      <c r="J24" s="759"/>
      <c r="K24" s="759"/>
      <c r="L24" s="758"/>
      <c r="M24" s="759"/>
      <c r="N24" s="759"/>
      <c r="O24" s="759"/>
      <c r="P24" s="759"/>
      <c r="Q24" s="759"/>
      <c r="R24" s="759"/>
      <c r="S24" s="760"/>
      <c r="T24" s="485"/>
      <c r="U24" s="510"/>
      <c r="V24" s="510"/>
      <c r="W24" s="510"/>
      <c r="X24" s="510"/>
      <c r="Y24" s="510"/>
      <c r="Z24" s="510"/>
      <c r="AA24" s="510"/>
      <c r="AB24" s="509"/>
    </row>
    <row r="25" spans="1:28">
      <c r="A25" s="481">
        <v>3.3</v>
      </c>
      <c r="B25" s="511" t="s">
        <v>565</v>
      </c>
      <c r="C25" s="757"/>
      <c r="D25" s="758"/>
      <c r="E25" s="759"/>
      <c r="F25" s="759"/>
      <c r="G25" s="759"/>
      <c r="H25" s="758"/>
      <c r="I25" s="759"/>
      <c r="J25" s="759"/>
      <c r="K25" s="759"/>
      <c r="L25" s="758"/>
      <c r="M25" s="759"/>
      <c r="N25" s="759"/>
      <c r="O25" s="759"/>
      <c r="P25" s="759"/>
      <c r="Q25" s="759"/>
      <c r="R25" s="759"/>
      <c r="S25" s="760"/>
      <c r="T25" s="485"/>
      <c r="U25" s="510"/>
      <c r="V25" s="510"/>
      <c r="W25" s="510"/>
      <c r="X25" s="510"/>
      <c r="Y25" s="510"/>
      <c r="Z25" s="510"/>
      <c r="AA25" s="510"/>
      <c r="AB25" s="509"/>
    </row>
    <row r="26" spans="1:28">
      <c r="A26" s="481">
        <v>3.4</v>
      </c>
      <c r="B26" s="511" t="s">
        <v>566</v>
      </c>
      <c r="C26" s="754">
        <f>SUM(D26,H26,L26,)</f>
        <v>0</v>
      </c>
      <c r="D26" s="758">
        <v>0</v>
      </c>
      <c r="E26" s="759"/>
      <c r="F26" s="759"/>
      <c r="G26" s="759"/>
      <c r="H26" s="758">
        <v>0</v>
      </c>
      <c r="I26" s="759"/>
      <c r="J26" s="759"/>
      <c r="K26" s="759"/>
      <c r="L26" s="758">
        <v>0</v>
      </c>
      <c r="M26" s="759"/>
      <c r="N26" s="759"/>
      <c r="O26" s="759"/>
      <c r="P26" s="759"/>
      <c r="Q26" s="759"/>
      <c r="R26" s="759"/>
      <c r="S26" s="760"/>
      <c r="T26" s="485"/>
      <c r="U26" s="510"/>
      <c r="V26" s="510"/>
      <c r="W26" s="510"/>
      <c r="X26" s="510"/>
      <c r="Y26" s="510"/>
      <c r="Z26" s="510"/>
      <c r="AA26" s="510"/>
      <c r="AB26" s="509"/>
    </row>
    <row r="27" spans="1:28">
      <c r="A27" s="481">
        <v>3.5</v>
      </c>
      <c r="B27" s="511" t="s">
        <v>567</v>
      </c>
      <c r="C27" s="754">
        <f>SUM(D27,H27,L27,)</f>
        <v>216247.52669999999</v>
      </c>
      <c r="D27" s="777">
        <v>216247.52669999999</v>
      </c>
      <c r="E27" s="759"/>
      <c r="F27" s="759"/>
      <c r="G27" s="759"/>
      <c r="H27" s="758">
        <v>0</v>
      </c>
      <c r="I27" s="759"/>
      <c r="J27" s="759"/>
      <c r="K27" s="759"/>
      <c r="L27" s="758">
        <v>0</v>
      </c>
      <c r="M27" s="759"/>
      <c r="N27" s="759"/>
      <c r="O27" s="759"/>
      <c r="P27" s="759"/>
      <c r="Q27" s="759"/>
      <c r="R27" s="759"/>
      <c r="S27" s="760"/>
      <c r="T27" s="485"/>
      <c r="U27" s="510"/>
      <c r="V27" s="510"/>
      <c r="W27" s="510"/>
      <c r="X27" s="510"/>
      <c r="Y27" s="510"/>
      <c r="Z27" s="510">
        <v>0</v>
      </c>
      <c r="AA27" s="510"/>
      <c r="AB27" s="509"/>
    </row>
    <row r="28" spans="1:28">
      <c r="A28" s="481">
        <v>3.6</v>
      </c>
      <c r="B28" s="511" t="s">
        <v>568</v>
      </c>
      <c r="C28" s="756"/>
      <c r="D28" s="761"/>
      <c r="E28" s="760"/>
      <c r="F28" s="760"/>
      <c r="G28" s="760"/>
      <c r="H28" s="761"/>
      <c r="I28" s="760"/>
      <c r="J28" s="760"/>
      <c r="K28" s="760"/>
      <c r="L28" s="761"/>
      <c r="M28" s="760"/>
      <c r="N28" s="760"/>
      <c r="O28" s="760"/>
      <c r="P28" s="760"/>
      <c r="Q28" s="760"/>
      <c r="R28" s="760"/>
      <c r="S28" s="760"/>
      <c r="T28" s="485"/>
      <c r="U28" s="510"/>
      <c r="V28" s="510"/>
      <c r="W28" s="510"/>
      <c r="X28" s="510"/>
      <c r="Y28" s="510"/>
      <c r="Z28" s="510"/>
      <c r="AA28" s="510"/>
      <c r="AB28" s="50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38"/>
  <sheetViews>
    <sheetView showGridLines="0" zoomScale="60" zoomScaleNormal="60" workbookViewId="0"/>
  </sheetViews>
  <sheetFormatPr defaultColWidth="9.28515625" defaultRowHeight="12.75"/>
  <cols>
    <col min="1" max="1" width="11.7109375" style="492" bestFit="1" customWidth="1"/>
    <col min="2" max="2" width="90.28515625" style="492" bestFit="1" customWidth="1"/>
    <col min="3" max="3" width="20.28515625" style="492" customWidth="1"/>
    <col min="4" max="4" width="22.28515625" style="492" customWidth="1"/>
    <col min="5" max="7" width="17.140625" style="492" customWidth="1"/>
    <col min="8" max="8" width="22.28515625" style="492" customWidth="1"/>
    <col min="9" max="10" width="17.140625" style="492" customWidth="1"/>
    <col min="11" max="27" width="22.28515625" style="492" customWidth="1"/>
    <col min="28" max="16384" width="9.28515625" style="492"/>
  </cols>
  <sheetData>
    <row r="1" spans="1:27" ht="13.5">
      <c r="A1" s="379" t="s">
        <v>108</v>
      </c>
      <c r="B1" s="306" t="str">
        <f>Info!C2</f>
        <v>JSC "VTB Bank (Georgia)"</v>
      </c>
    </row>
    <row r="2" spans="1:27">
      <c r="A2" s="381" t="s">
        <v>109</v>
      </c>
      <c r="B2" s="383">
        <f>Info!D2</f>
        <v>45657</v>
      </c>
    </row>
    <row r="3" spans="1:27">
      <c r="A3" s="382" t="s">
        <v>571</v>
      </c>
      <c r="C3" s="494"/>
    </row>
    <row r="4" spans="1:27" ht="13.5" thickBot="1">
      <c r="A4" s="382"/>
      <c r="B4" s="494"/>
      <c r="C4" s="799">
        <f>C8-'24. Risk Sector'!C33</f>
        <v>-0.46882197260856628</v>
      </c>
    </row>
    <row r="5" spans="1:27" s="524" customFormat="1" ht="13.5" customHeight="1">
      <c r="A5" s="904" t="s">
        <v>901</v>
      </c>
      <c r="B5" s="905"/>
      <c r="C5" s="901" t="s">
        <v>572</v>
      </c>
      <c r="D5" s="902"/>
      <c r="E5" s="902"/>
      <c r="F5" s="902"/>
      <c r="G5" s="902"/>
      <c r="H5" s="902"/>
      <c r="I5" s="902"/>
      <c r="J5" s="902"/>
      <c r="K5" s="902"/>
      <c r="L5" s="902"/>
      <c r="M5" s="902"/>
      <c r="N5" s="902"/>
      <c r="O5" s="902"/>
      <c r="P5" s="902"/>
      <c r="Q5" s="902"/>
      <c r="R5" s="902"/>
      <c r="S5" s="902"/>
      <c r="T5" s="902"/>
      <c r="U5" s="902"/>
      <c r="V5" s="902"/>
      <c r="W5" s="902"/>
      <c r="X5" s="902"/>
      <c r="Y5" s="902"/>
      <c r="Z5" s="902"/>
      <c r="AA5" s="903"/>
    </row>
    <row r="6" spans="1:27" s="524" customFormat="1" ht="12" customHeight="1">
      <c r="A6" s="906"/>
      <c r="B6" s="907"/>
      <c r="C6" s="911" t="s">
        <v>66</v>
      </c>
      <c r="D6" s="910" t="s">
        <v>892</v>
      </c>
      <c r="E6" s="910"/>
      <c r="F6" s="910"/>
      <c r="G6" s="910"/>
      <c r="H6" s="896" t="s">
        <v>891</v>
      </c>
      <c r="I6" s="897"/>
      <c r="J6" s="897"/>
      <c r="K6" s="897"/>
      <c r="L6" s="520"/>
      <c r="M6" s="878" t="s">
        <v>890</v>
      </c>
      <c r="N6" s="878"/>
      <c r="O6" s="878"/>
      <c r="P6" s="878"/>
      <c r="Q6" s="878"/>
      <c r="R6" s="878"/>
      <c r="S6" s="876"/>
      <c r="T6" s="520"/>
      <c r="U6" s="878" t="s">
        <v>889</v>
      </c>
      <c r="V6" s="878"/>
      <c r="W6" s="878"/>
      <c r="X6" s="878"/>
      <c r="Y6" s="878"/>
      <c r="Z6" s="878"/>
      <c r="AA6" s="900"/>
    </row>
    <row r="7" spans="1:27" s="524" customFormat="1" ht="38.25">
      <c r="A7" s="908"/>
      <c r="B7" s="909"/>
      <c r="C7" s="912"/>
      <c r="D7" s="518"/>
      <c r="E7" s="514" t="s">
        <v>561</v>
      </c>
      <c r="F7" s="489" t="s">
        <v>887</v>
      </c>
      <c r="G7" s="489" t="s">
        <v>888</v>
      </c>
      <c r="H7" s="545"/>
      <c r="I7" s="514" t="s">
        <v>561</v>
      </c>
      <c r="J7" s="489" t="s">
        <v>887</v>
      </c>
      <c r="K7" s="489" t="s">
        <v>888</v>
      </c>
      <c r="L7" s="515"/>
      <c r="M7" s="514" t="s">
        <v>561</v>
      </c>
      <c r="N7" s="489" t="s">
        <v>900</v>
      </c>
      <c r="O7" s="489" t="s">
        <v>899</v>
      </c>
      <c r="P7" s="489" t="s">
        <v>898</v>
      </c>
      <c r="Q7" s="489" t="s">
        <v>897</v>
      </c>
      <c r="R7" s="489" t="s">
        <v>896</v>
      </c>
      <c r="S7" s="489" t="s">
        <v>882</v>
      </c>
      <c r="T7" s="515"/>
      <c r="U7" s="514" t="s">
        <v>561</v>
      </c>
      <c r="V7" s="489" t="s">
        <v>900</v>
      </c>
      <c r="W7" s="489" t="s">
        <v>899</v>
      </c>
      <c r="X7" s="489" t="s">
        <v>898</v>
      </c>
      <c r="Y7" s="489" t="s">
        <v>897</v>
      </c>
      <c r="Z7" s="489" t="s">
        <v>896</v>
      </c>
      <c r="AA7" s="489" t="s">
        <v>882</v>
      </c>
    </row>
    <row r="8" spans="1:27">
      <c r="A8" s="544">
        <v>1</v>
      </c>
      <c r="B8" s="543" t="s">
        <v>562</v>
      </c>
      <c r="C8" s="800">
        <f t="shared" ref="C8:C15" si="0">SUM(E8:F8,I8:J8,M8:S8)</f>
        <v>194982466.48080331</v>
      </c>
      <c r="D8" s="719">
        <v>56842081</v>
      </c>
      <c r="E8" s="719">
        <v>56842081</v>
      </c>
      <c r="F8" s="719">
        <v>0</v>
      </c>
      <c r="G8" s="719">
        <v>0</v>
      </c>
      <c r="H8" s="719">
        <v>23984540.317943323</v>
      </c>
      <c r="I8" s="719">
        <v>21972444.992578696</v>
      </c>
      <c r="J8" s="719">
        <v>2012095.3253646281</v>
      </c>
      <c r="K8" s="719">
        <v>0</v>
      </c>
      <c r="L8" s="719">
        <f t="shared" ref="L8:L15" si="1">SUM(M8:S8)</f>
        <v>114155845.16285999</v>
      </c>
      <c r="M8" s="719">
        <v>32984585</v>
      </c>
      <c r="N8" s="719">
        <v>795982.30527000001</v>
      </c>
      <c r="O8" s="719">
        <v>5074270.2300000004</v>
      </c>
      <c r="P8" s="719">
        <v>4471874.1409999998</v>
      </c>
      <c r="Q8" s="719">
        <v>10900609.07526999</v>
      </c>
      <c r="R8" s="719">
        <v>59519820.649719991</v>
      </c>
      <c r="S8" s="719">
        <v>408703.76159999997</v>
      </c>
      <c r="T8" s="755"/>
      <c r="U8" s="755"/>
      <c r="V8" s="755"/>
      <c r="W8" s="755"/>
      <c r="X8" s="755"/>
      <c r="Y8" s="755"/>
      <c r="Z8" s="755"/>
      <c r="AA8" s="762"/>
    </row>
    <row r="9" spans="1:27">
      <c r="A9" s="541">
        <v>1.1000000000000001</v>
      </c>
      <c r="B9" s="542" t="s">
        <v>573</v>
      </c>
      <c r="C9" s="763">
        <f t="shared" si="0"/>
        <v>192885861.92482531</v>
      </c>
      <c r="D9" s="719">
        <v>56973244.046392001</v>
      </c>
      <c r="E9" s="719">
        <v>56973244.046392009</v>
      </c>
      <c r="F9" s="719">
        <v>0</v>
      </c>
      <c r="G9" s="719">
        <v>0</v>
      </c>
      <c r="H9" s="719">
        <v>23979281.237943325</v>
      </c>
      <c r="I9" s="719">
        <v>21972444.992578696</v>
      </c>
      <c r="J9" s="719">
        <v>2006836.245364628</v>
      </c>
      <c r="K9" s="719">
        <v>0</v>
      </c>
      <c r="L9" s="719">
        <f t="shared" si="1"/>
        <v>111933336.64049</v>
      </c>
      <c r="M9" s="719">
        <v>32736959.497600004</v>
      </c>
      <c r="N9" s="719">
        <v>775295.86</v>
      </c>
      <c r="O9" s="719">
        <v>5069548.5200000005</v>
      </c>
      <c r="P9" s="719">
        <v>3008994.9819</v>
      </c>
      <c r="Q9" s="719">
        <v>10900609.07526999</v>
      </c>
      <c r="R9" s="719">
        <v>59033224.944119997</v>
      </c>
      <c r="S9" s="719">
        <v>408703.76159999997</v>
      </c>
      <c r="T9" s="755"/>
      <c r="U9" s="755"/>
      <c r="V9" s="755"/>
      <c r="W9" s="755"/>
      <c r="X9" s="755"/>
      <c r="Y9" s="755"/>
      <c r="Z9" s="755"/>
      <c r="AA9" s="762"/>
    </row>
    <row r="10" spans="1:27">
      <c r="A10" s="539" t="s">
        <v>157</v>
      </c>
      <c r="B10" s="540" t="s">
        <v>574</v>
      </c>
      <c r="C10" s="763">
        <f t="shared" si="0"/>
        <v>184028026.69646531</v>
      </c>
      <c r="D10" s="719">
        <v>52240860.340632014</v>
      </c>
      <c r="E10" s="719">
        <v>52240860.340632007</v>
      </c>
      <c r="F10" s="719">
        <v>0</v>
      </c>
      <c r="G10" s="719">
        <v>0</v>
      </c>
      <c r="H10" s="719">
        <v>23979281.237943325</v>
      </c>
      <c r="I10" s="719">
        <v>21972444.992578696</v>
      </c>
      <c r="J10" s="719">
        <v>2006836.245364628</v>
      </c>
      <c r="K10" s="719">
        <v>0</v>
      </c>
      <c r="L10" s="719">
        <f t="shared" si="1"/>
        <v>107807885.11789002</v>
      </c>
      <c r="M10" s="719">
        <v>32736959.497600004</v>
      </c>
      <c r="N10" s="719">
        <v>775295.86</v>
      </c>
      <c r="O10" s="719">
        <v>5016738.9400000004</v>
      </c>
      <c r="P10" s="719">
        <v>3001436.3319000001</v>
      </c>
      <c r="Q10" s="719">
        <v>10900609.075269997</v>
      </c>
      <c r="R10" s="719">
        <v>54968141.651520006</v>
      </c>
      <c r="S10" s="719">
        <v>408703.76159999997</v>
      </c>
      <c r="T10" s="755"/>
      <c r="U10" s="755"/>
      <c r="V10" s="755"/>
      <c r="W10" s="755"/>
      <c r="X10" s="755"/>
      <c r="Y10" s="755"/>
      <c r="Z10" s="755"/>
      <c r="AA10" s="762"/>
    </row>
    <row r="11" spans="1:27">
      <c r="A11" s="538" t="s">
        <v>575</v>
      </c>
      <c r="B11" s="537" t="s">
        <v>576</v>
      </c>
      <c r="C11" s="763">
        <f t="shared" si="0"/>
        <v>58733221.947329305</v>
      </c>
      <c r="D11" s="719">
        <v>22115419.783082008</v>
      </c>
      <c r="E11" s="719">
        <v>22115419.783081997</v>
      </c>
      <c r="F11" s="719">
        <v>0</v>
      </c>
      <c r="G11" s="719">
        <v>0</v>
      </c>
      <c r="H11" s="719">
        <v>7133398.6613372993</v>
      </c>
      <c r="I11" s="719">
        <v>5126562.4159726724</v>
      </c>
      <c r="J11" s="719">
        <v>2006836.245364628</v>
      </c>
      <c r="K11" s="719">
        <v>0</v>
      </c>
      <c r="L11" s="719">
        <f t="shared" si="1"/>
        <v>29484403.502909999</v>
      </c>
      <c r="M11" s="719">
        <v>17722408.470819999</v>
      </c>
      <c r="N11" s="719">
        <v>0</v>
      </c>
      <c r="O11" s="719">
        <v>0</v>
      </c>
      <c r="P11" s="719">
        <v>1297731.3618999999</v>
      </c>
      <c r="Q11" s="719">
        <v>140583.12367000058</v>
      </c>
      <c r="R11" s="719">
        <v>10323680.546520002</v>
      </c>
      <c r="S11" s="719">
        <v>0</v>
      </c>
      <c r="T11" s="755"/>
      <c r="U11" s="755"/>
      <c r="V11" s="755"/>
      <c r="W11" s="755"/>
      <c r="X11" s="755"/>
      <c r="Y11" s="755"/>
      <c r="Z11" s="755"/>
      <c r="AA11" s="762"/>
    </row>
    <row r="12" spans="1:27">
      <c r="A12" s="538" t="s">
        <v>577</v>
      </c>
      <c r="B12" s="537" t="s">
        <v>578</v>
      </c>
      <c r="C12" s="763">
        <f t="shared" si="0"/>
        <v>20791746.237682</v>
      </c>
      <c r="D12" s="719">
        <v>9313453.491014</v>
      </c>
      <c r="E12" s="719">
        <v>9313453.491014</v>
      </c>
      <c r="F12" s="719">
        <v>0</v>
      </c>
      <c r="G12" s="719">
        <v>0</v>
      </c>
      <c r="H12" s="719">
        <v>3039648.7466680002</v>
      </c>
      <c r="I12" s="719">
        <v>3039648.7466680002</v>
      </c>
      <c r="J12" s="719">
        <v>0</v>
      </c>
      <c r="K12" s="719">
        <v>0</v>
      </c>
      <c r="L12" s="719">
        <f t="shared" si="1"/>
        <v>8438644</v>
      </c>
      <c r="M12" s="719">
        <v>0</v>
      </c>
      <c r="N12" s="719">
        <v>0</v>
      </c>
      <c r="O12" s="719">
        <v>0</v>
      </c>
      <c r="P12" s="719">
        <v>0</v>
      </c>
      <c r="Q12" s="719">
        <v>3960660</v>
      </c>
      <c r="R12" s="719">
        <v>4477984</v>
      </c>
      <c r="S12" s="719">
        <v>0</v>
      </c>
      <c r="T12" s="755"/>
      <c r="U12" s="755"/>
      <c r="V12" s="755"/>
      <c r="W12" s="755"/>
      <c r="X12" s="755"/>
      <c r="Y12" s="755"/>
      <c r="Z12" s="755"/>
      <c r="AA12" s="762"/>
    </row>
    <row r="13" spans="1:27">
      <c r="A13" s="538" t="s">
        <v>579</v>
      </c>
      <c r="B13" s="537" t="s">
        <v>580</v>
      </c>
      <c r="C13" s="763">
        <f t="shared" si="0"/>
        <v>12921858.925399998</v>
      </c>
      <c r="D13" s="719">
        <v>370830.49500000005</v>
      </c>
      <c r="E13" s="719">
        <v>370830.49500000005</v>
      </c>
      <c r="F13" s="719">
        <v>0</v>
      </c>
      <c r="G13" s="719">
        <v>0</v>
      </c>
      <c r="H13" s="719">
        <v>178763.81</v>
      </c>
      <c r="I13" s="719">
        <v>178763.81</v>
      </c>
      <c r="J13" s="719">
        <v>0</v>
      </c>
      <c r="K13" s="719">
        <v>0</v>
      </c>
      <c r="L13" s="719">
        <f t="shared" si="1"/>
        <v>12372264.620399999</v>
      </c>
      <c r="M13" s="719">
        <v>0</v>
      </c>
      <c r="N13" s="719">
        <v>0</v>
      </c>
      <c r="O13" s="719">
        <v>0</v>
      </c>
      <c r="P13" s="719">
        <v>0</v>
      </c>
      <c r="Q13" s="719">
        <v>4430290.379999999</v>
      </c>
      <c r="R13" s="719">
        <v>7941974.2403999995</v>
      </c>
      <c r="S13" s="719">
        <v>0</v>
      </c>
      <c r="T13" s="755"/>
      <c r="U13" s="755"/>
      <c r="V13" s="755"/>
      <c r="W13" s="755"/>
      <c r="X13" s="755"/>
      <c r="Y13" s="755"/>
      <c r="Z13" s="755"/>
      <c r="AA13" s="762"/>
    </row>
    <row r="14" spans="1:27">
      <c r="A14" s="538" t="s">
        <v>581</v>
      </c>
      <c r="B14" s="537" t="s">
        <v>582</v>
      </c>
      <c r="C14" s="763">
        <f t="shared" si="0"/>
        <v>91581199.586054042</v>
      </c>
      <c r="D14" s="719">
        <v>20441156.571536001</v>
      </c>
      <c r="E14" s="719">
        <v>20441156.571536001</v>
      </c>
      <c r="F14" s="719">
        <v>0</v>
      </c>
      <c r="G14" s="719">
        <v>0</v>
      </c>
      <c r="H14" s="719">
        <v>13627470.019938027</v>
      </c>
      <c r="I14" s="719">
        <v>13627470.019938027</v>
      </c>
      <c r="J14" s="719">
        <v>0</v>
      </c>
      <c r="K14" s="719">
        <v>0</v>
      </c>
      <c r="L14" s="719">
        <f t="shared" si="1"/>
        <v>57512572.994580016</v>
      </c>
      <c r="M14" s="719">
        <v>15014551.026780002</v>
      </c>
      <c r="N14" s="719">
        <v>775295.86</v>
      </c>
      <c r="O14" s="719">
        <v>5016738.9400000004</v>
      </c>
      <c r="P14" s="719">
        <v>1703704.97</v>
      </c>
      <c r="Q14" s="719">
        <v>2369075.571600005</v>
      </c>
      <c r="R14" s="719">
        <v>32224502.864600003</v>
      </c>
      <c r="S14" s="719">
        <v>408703.76159999997</v>
      </c>
      <c r="T14" s="755"/>
      <c r="U14" s="755"/>
      <c r="V14" s="755"/>
      <c r="W14" s="755"/>
      <c r="X14" s="755"/>
      <c r="Y14" s="755"/>
      <c r="Z14" s="755"/>
      <c r="AA14" s="762"/>
    </row>
    <row r="15" spans="1:27">
      <c r="A15" s="536">
        <v>1.2</v>
      </c>
      <c r="B15" s="534" t="s">
        <v>895</v>
      </c>
      <c r="C15" s="763">
        <f t="shared" si="0"/>
        <v>22832148.128096242</v>
      </c>
      <c r="D15" s="719">
        <v>276631.43393292936</v>
      </c>
      <c r="E15" s="719">
        <v>276631.43393292936</v>
      </c>
      <c r="F15" s="719">
        <v>0</v>
      </c>
      <c r="G15" s="719">
        <v>0</v>
      </c>
      <c r="H15" s="719">
        <v>1030966.9660440076</v>
      </c>
      <c r="I15" s="719">
        <v>793423.08393962309</v>
      </c>
      <c r="J15" s="719">
        <v>237543.88210438445</v>
      </c>
      <c r="K15" s="719">
        <v>0</v>
      </c>
      <c r="L15" s="719">
        <f t="shared" si="1"/>
        <v>21524549.728119303</v>
      </c>
      <c r="M15" s="719">
        <v>5957928.8216911387</v>
      </c>
      <c r="N15" s="719">
        <v>271353.55099999998</v>
      </c>
      <c r="O15" s="719">
        <v>67859.796820000003</v>
      </c>
      <c r="P15" s="719">
        <v>722489.16049948998</v>
      </c>
      <c r="Q15" s="719">
        <v>3214939.8927848339</v>
      </c>
      <c r="R15" s="719">
        <v>11120438.614739822</v>
      </c>
      <c r="S15" s="719">
        <v>169539.89058401695</v>
      </c>
      <c r="T15" s="755"/>
      <c r="U15" s="755"/>
      <c r="V15" s="755"/>
      <c r="W15" s="755"/>
      <c r="X15" s="755"/>
      <c r="Y15" s="755"/>
      <c r="Z15" s="755"/>
      <c r="AA15" s="762"/>
    </row>
    <row r="16" spans="1:27">
      <c r="A16" s="535">
        <v>1.3</v>
      </c>
      <c r="B16" s="534" t="s">
        <v>583</v>
      </c>
      <c r="C16" s="764">
        <v>0</v>
      </c>
      <c r="D16" s="765"/>
      <c r="E16" s="765"/>
      <c r="F16" s="765"/>
      <c r="G16" s="765"/>
      <c r="H16" s="765"/>
      <c r="I16" s="765"/>
      <c r="J16" s="765"/>
      <c r="K16" s="765"/>
      <c r="L16" s="765"/>
      <c r="M16" s="765"/>
      <c r="N16" s="765"/>
      <c r="O16" s="765"/>
      <c r="P16" s="765"/>
      <c r="Q16" s="765"/>
      <c r="R16" s="765"/>
      <c r="S16" s="765"/>
      <c r="T16" s="766"/>
      <c r="U16" s="766"/>
      <c r="V16" s="766"/>
      <c r="W16" s="766"/>
      <c r="X16" s="766"/>
      <c r="Y16" s="766"/>
      <c r="Z16" s="766"/>
      <c r="AA16" s="767"/>
    </row>
    <row r="17" spans="1:27" s="524" customFormat="1" ht="25.5">
      <c r="A17" s="532" t="s">
        <v>584</v>
      </c>
      <c r="B17" s="533" t="s">
        <v>585</v>
      </c>
      <c r="C17" s="763">
        <f>SUM(E17:F17,I17:J17,M17:S17)</f>
        <v>176750923.06828931</v>
      </c>
      <c r="D17" s="720">
        <v>42488466.790755995</v>
      </c>
      <c r="E17" s="720">
        <v>42488466.790756002</v>
      </c>
      <c r="F17" s="720">
        <v>0</v>
      </c>
      <c r="G17" s="720">
        <v>0</v>
      </c>
      <c r="H17" s="720">
        <v>23979281.237943325</v>
      </c>
      <c r="I17" s="720">
        <v>21972444.992578696</v>
      </c>
      <c r="J17" s="720">
        <v>2006836.245364628</v>
      </c>
      <c r="K17" s="720">
        <v>0</v>
      </c>
      <c r="L17" s="719">
        <f>SUM(M17:S17)</f>
        <v>110283175.03959</v>
      </c>
      <c r="M17" s="720">
        <v>32736959.497600004</v>
      </c>
      <c r="N17" s="720">
        <v>775295.86</v>
      </c>
      <c r="O17" s="720">
        <v>5016738.9400000004</v>
      </c>
      <c r="P17" s="720">
        <v>3008994.9819</v>
      </c>
      <c r="Q17" s="720">
        <v>10762011.149769984</v>
      </c>
      <c r="R17" s="720">
        <v>57583205.610320009</v>
      </c>
      <c r="S17" s="720">
        <v>399969</v>
      </c>
      <c r="T17" s="768"/>
      <c r="U17" s="768"/>
      <c r="V17" s="768"/>
      <c r="W17" s="768"/>
      <c r="X17" s="768"/>
      <c r="Y17" s="768"/>
      <c r="Z17" s="768"/>
      <c r="AA17" s="769"/>
    </row>
    <row r="18" spans="1:27" s="524" customFormat="1" ht="25.5">
      <c r="A18" s="529" t="s">
        <v>586</v>
      </c>
      <c r="B18" s="530" t="s">
        <v>587</v>
      </c>
      <c r="C18" s="763">
        <f>SUM(E18:F18,I18:J18,M18:S18)</f>
        <v>157129823.06104666</v>
      </c>
      <c r="D18" s="720">
        <v>37775645.164996006</v>
      </c>
      <c r="E18" s="720">
        <v>37775645.164996006</v>
      </c>
      <c r="F18" s="720">
        <v>0</v>
      </c>
      <c r="G18" s="720">
        <v>0</v>
      </c>
      <c r="H18" s="720">
        <v>21823202.818105295</v>
      </c>
      <c r="I18" s="720">
        <v>19816366.57274067</v>
      </c>
      <c r="J18" s="720">
        <v>0</v>
      </c>
      <c r="K18" s="720">
        <v>0</v>
      </c>
      <c r="L18" s="719">
        <f>SUM(M18:S18)</f>
        <v>99537811.323310003</v>
      </c>
      <c r="M18" s="720">
        <v>29017688.746519998</v>
      </c>
      <c r="N18" s="720">
        <v>570952.80709999998</v>
      </c>
      <c r="O18" s="720">
        <v>4098959.6477999999</v>
      </c>
      <c r="P18" s="720">
        <v>2901429.6053999998</v>
      </c>
      <c r="Q18" s="720">
        <v>10762011.149769999</v>
      </c>
      <c r="R18" s="720">
        <v>51786800.366719998</v>
      </c>
      <c r="S18" s="720">
        <v>399969</v>
      </c>
      <c r="T18" s="768"/>
      <c r="U18" s="768"/>
      <c r="V18" s="768"/>
      <c r="W18" s="768"/>
      <c r="X18" s="768"/>
      <c r="Y18" s="768"/>
      <c r="Z18" s="768"/>
      <c r="AA18" s="769"/>
    </row>
    <row r="19" spans="1:27" s="524" customFormat="1">
      <c r="A19" s="532" t="s">
        <v>588</v>
      </c>
      <c r="B19" s="531" t="s">
        <v>589</v>
      </c>
      <c r="C19" s="763">
        <f>SUM(E19:F19,I19:J19,M19:S19)</f>
        <v>397405693.13927531</v>
      </c>
      <c r="D19" s="720">
        <v>174013199.15784404</v>
      </c>
      <c r="E19" s="720">
        <v>174013199.15784404</v>
      </c>
      <c r="F19" s="720">
        <v>0</v>
      </c>
      <c r="G19" s="720">
        <v>0</v>
      </c>
      <c r="H19" s="720">
        <v>19765179.531256676</v>
      </c>
      <c r="I19" s="720">
        <v>18021653.820621304</v>
      </c>
      <c r="J19" s="720">
        <v>0</v>
      </c>
      <c r="K19" s="720">
        <v>0</v>
      </c>
      <c r="L19" s="719">
        <f>SUM(M19:S19)</f>
        <v>205370840.16080999</v>
      </c>
      <c r="M19" s="720">
        <v>39181979.865199991</v>
      </c>
      <c r="N19" s="720">
        <v>187349.26159999834</v>
      </c>
      <c r="O19" s="720">
        <v>4777188.4307999993</v>
      </c>
      <c r="P19" s="720">
        <v>19496832.787899997</v>
      </c>
      <c r="Q19" s="720">
        <v>10449014.85942997</v>
      </c>
      <c r="R19" s="720">
        <v>131278474.95588003</v>
      </c>
      <c r="S19" s="720">
        <v>0</v>
      </c>
      <c r="T19" s="768"/>
      <c r="U19" s="768"/>
      <c r="V19" s="768"/>
      <c r="W19" s="768"/>
      <c r="X19" s="768"/>
      <c r="Y19" s="768"/>
      <c r="Z19" s="768"/>
      <c r="AA19" s="769"/>
    </row>
    <row r="20" spans="1:27" s="524" customFormat="1">
      <c r="A20" s="529" t="s">
        <v>590</v>
      </c>
      <c r="B20" s="530" t="s">
        <v>591</v>
      </c>
      <c r="C20" s="763">
        <f>SUM(E20:F20,I20:J20,M20:S20)</f>
        <v>223174823.64275336</v>
      </c>
      <c r="D20" s="720">
        <v>162707554.95750403</v>
      </c>
      <c r="E20" s="720">
        <v>162707554.95750403</v>
      </c>
      <c r="F20" s="720">
        <v>0</v>
      </c>
      <c r="G20" s="720">
        <v>0</v>
      </c>
      <c r="H20" s="720">
        <v>6483857.9510947</v>
      </c>
      <c r="I20" s="720">
        <v>4740332.2404593285</v>
      </c>
      <c r="J20" s="720">
        <v>0</v>
      </c>
      <c r="K20" s="720">
        <v>0</v>
      </c>
      <c r="L20" s="719">
        <f>SUM(M20:S20)</f>
        <v>55726936.444789998</v>
      </c>
      <c r="M20" s="720">
        <v>11218962.68458</v>
      </c>
      <c r="N20" s="720">
        <v>0</v>
      </c>
      <c r="O20" s="720">
        <v>0</v>
      </c>
      <c r="P20" s="720">
        <v>16806128.638099998</v>
      </c>
      <c r="Q20" s="720">
        <v>1724375.5072300024</v>
      </c>
      <c r="R20" s="720">
        <v>25977469.614879999</v>
      </c>
      <c r="S20" s="720">
        <v>0</v>
      </c>
      <c r="T20" s="768"/>
      <c r="U20" s="768"/>
      <c r="V20" s="768"/>
      <c r="W20" s="768"/>
      <c r="X20" s="768"/>
      <c r="Y20" s="768"/>
      <c r="Z20" s="768"/>
      <c r="AA20" s="769"/>
    </row>
    <row r="21" spans="1:27" s="524" customFormat="1">
      <c r="A21" s="528">
        <v>1.4</v>
      </c>
      <c r="B21" s="527" t="s">
        <v>680</v>
      </c>
      <c r="C21" s="763">
        <f>SUM(E21:F21,I21:J21,M21:S21)</f>
        <v>44648.72</v>
      </c>
      <c r="D21" s="720">
        <v>44648.72</v>
      </c>
      <c r="E21" s="720">
        <v>44648.72</v>
      </c>
      <c r="F21" s="720">
        <v>0</v>
      </c>
      <c r="G21" s="720">
        <v>0</v>
      </c>
      <c r="H21" s="720">
        <v>0</v>
      </c>
      <c r="I21" s="720">
        <v>0</v>
      </c>
      <c r="J21" s="720">
        <v>0</v>
      </c>
      <c r="K21" s="720">
        <v>0</v>
      </c>
      <c r="L21" s="720">
        <v>0</v>
      </c>
      <c r="M21" s="720">
        <v>0</v>
      </c>
      <c r="N21" s="720">
        <v>0</v>
      </c>
      <c r="O21" s="720">
        <v>0</v>
      </c>
      <c r="P21" s="720">
        <v>0</v>
      </c>
      <c r="Q21" s="720">
        <v>0</v>
      </c>
      <c r="R21" s="720">
        <v>0</v>
      </c>
      <c r="S21" s="720">
        <v>0</v>
      </c>
      <c r="T21" s="768"/>
      <c r="U21" s="768"/>
      <c r="V21" s="768"/>
      <c r="W21" s="768"/>
      <c r="X21" s="768"/>
      <c r="Y21" s="768"/>
      <c r="Z21" s="768"/>
      <c r="AA21" s="769"/>
    </row>
    <row r="22" spans="1:27" s="524" customFormat="1" ht="13.5" thickBot="1">
      <c r="A22" s="526">
        <v>1.5</v>
      </c>
      <c r="B22" s="525" t="s">
        <v>681</v>
      </c>
      <c r="C22" s="770">
        <v>0</v>
      </c>
      <c r="D22" s="771">
        <v>0</v>
      </c>
      <c r="E22" s="771">
        <v>0</v>
      </c>
      <c r="F22" s="771">
        <v>0</v>
      </c>
      <c r="G22" s="771">
        <v>0</v>
      </c>
      <c r="H22" s="771">
        <v>0</v>
      </c>
      <c r="I22" s="771">
        <v>0</v>
      </c>
      <c r="J22" s="771">
        <v>0</v>
      </c>
      <c r="K22" s="771">
        <v>0</v>
      </c>
      <c r="L22" s="771">
        <v>0</v>
      </c>
      <c r="M22" s="771">
        <v>0</v>
      </c>
      <c r="N22" s="771">
        <v>0</v>
      </c>
      <c r="O22" s="771">
        <v>0</v>
      </c>
      <c r="P22" s="771">
        <v>0</v>
      </c>
      <c r="Q22" s="771">
        <v>0</v>
      </c>
      <c r="R22" s="771">
        <v>0</v>
      </c>
      <c r="S22" s="771">
        <v>0</v>
      </c>
      <c r="T22" s="772"/>
      <c r="U22" s="772"/>
      <c r="V22" s="772"/>
      <c r="W22" s="772"/>
      <c r="X22" s="772"/>
      <c r="Y22" s="772"/>
      <c r="Z22" s="772"/>
      <c r="AA22" s="773"/>
    </row>
    <row r="23" spans="1:27">
      <c r="C23" s="799">
        <f>SUM(E8:F8,I8:J8,M8:S8)-C8</f>
        <v>0</v>
      </c>
      <c r="D23" s="799">
        <f>D8-E8</f>
        <v>0</v>
      </c>
      <c r="L23" s="799">
        <f>L8-'19. Assets by Risk Sectors'!C34</f>
        <v>-0.25544002652168274</v>
      </c>
    </row>
    <row r="24" spans="1:27">
      <c r="C24" s="799">
        <f>SUM(E9:F9,I9:J9,M9:S9)-C9</f>
        <v>0</v>
      </c>
      <c r="D24" s="799">
        <f t="shared" ref="D24:D37" si="2">D9-E9</f>
        <v>0</v>
      </c>
      <c r="L24" s="799">
        <f>SUM(M8:S8)-L8</f>
        <v>0</v>
      </c>
    </row>
    <row r="25" spans="1:27">
      <c r="C25" s="799">
        <f t="shared" ref="C25:C37" si="3">SUM(E10:F10,I10:J10,M10:S10)-C10</f>
        <v>0</v>
      </c>
      <c r="D25" s="799">
        <f t="shared" si="2"/>
        <v>0</v>
      </c>
      <c r="L25" s="799">
        <f t="shared" ref="L25:L38" si="4">SUM(M9:S9)-L9</f>
        <v>0</v>
      </c>
    </row>
    <row r="26" spans="1:27">
      <c r="C26" s="799">
        <f t="shared" si="3"/>
        <v>0</v>
      </c>
      <c r="D26" s="799">
        <f t="shared" si="2"/>
        <v>0</v>
      </c>
      <c r="L26" s="799">
        <f t="shared" si="4"/>
        <v>0</v>
      </c>
    </row>
    <row r="27" spans="1:27">
      <c r="C27" s="799">
        <f t="shared" si="3"/>
        <v>0</v>
      </c>
      <c r="D27" s="799">
        <f t="shared" si="2"/>
        <v>0</v>
      </c>
      <c r="L27" s="799">
        <f t="shared" si="4"/>
        <v>0</v>
      </c>
    </row>
    <row r="28" spans="1:27">
      <c r="C28" s="799">
        <f t="shared" si="3"/>
        <v>0</v>
      </c>
      <c r="D28" s="799">
        <f t="shared" si="2"/>
        <v>0</v>
      </c>
      <c r="L28" s="799">
        <f t="shared" si="4"/>
        <v>0</v>
      </c>
    </row>
    <row r="29" spans="1:27">
      <c r="C29" s="799">
        <f t="shared" si="3"/>
        <v>0</v>
      </c>
      <c r="D29" s="799">
        <f t="shared" si="2"/>
        <v>0</v>
      </c>
      <c r="L29" s="799">
        <f t="shared" si="4"/>
        <v>0</v>
      </c>
    </row>
    <row r="30" spans="1:27">
      <c r="C30" s="799">
        <f t="shared" si="3"/>
        <v>0</v>
      </c>
      <c r="D30" s="799">
        <f t="shared" si="2"/>
        <v>0</v>
      </c>
      <c r="L30" s="799">
        <f t="shared" si="4"/>
        <v>0</v>
      </c>
    </row>
    <row r="31" spans="1:27">
      <c r="C31" s="799">
        <f t="shared" si="3"/>
        <v>0</v>
      </c>
      <c r="D31" s="799">
        <f t="shared" si="2"/>
        <v>0</v>
      </c>
      <c r="L31" s="799">
        <f t="shared" si="4"/>
        <v>0</v>
      </c>
    </row>
    <row r="32" spans="1:27">
      <c r="C32" s="799">
        <f t="shared" si="3"/>
        <v>0</v>
      </c>
      <c r="D32" s="799">
        <f t="shared" si="2"/>
        <v>0</v>
      </c>
      <c r="L32" s="799">
        <f t="shared" si="4"/>
        <v>0</v>
      </c>
    </row>
    <row r="33" spans="3:12">
      <c r="C33" s="799">
        <f t="shared" si="3"/>
        <v>0</v>
      </c>
      <c r="D33" s="799">
        <f t="shared" si="2"/>
        <v>0</v>
      </c>
      <c r="L33" s="799">
        <f t="shared" si="4"/>
        <v>0</v>
      </c>
    </row>
    <row r="34" spans="3:12">
      <c r="C34" s="799">
        <f t="shared" si="3"/>
        <v>0</v>
      </c>
      <c r="D34" s="799">
        <f t="shared" si="2"/>
        <v>0</v>
      </c>
      <c r="L34" s="799">
        <f t="shared" si="4"/>
        <v>0</v>
      </c>
    </row>
    <row r="35" spans="3:12">
      <c r="C35" s="799">
        <f t="shared" si="3"/>
        <v>0</v>
      </c>
      <c r="D35" s="799">
        <f t="shared" si="2"/>
        <v>0</v>
      </c>
      <c r="L35" s="799">
        <f t="shared" si="4"/>
        <v>0</v>
      </c>
    </row>
    <row r="36" spans="3:12">
      <c r="C36" s="799">
        <f t="shared" si="3"/>
        <v>0</v>
      </c>
      <c r="D36" s="799">
        <f t="shared" si="2"/>
        <v>0</v>
      </c>
      <c r="L36" s="799">
        <f t="shared" si="4"/>
        <v>0</v>
      </c>
    </row>
    <row r="37" spans="3:12">
      <c r="C37" s="799">
        <f t="shared" si="3"/>
        <v>0</v>
      </c>
      <c r="D37" s="799">
        <f t="shared" si="2"/>
        <v>0</v>
      </c>
      <c r="L37" s="799">
        <f t="shared" si="4"/>
        <v>0</v>
      </c>
    </row>
    <row r="38" spans="3:12">
      <c r="L38" s="799">
        <f t="shared" si="4"/>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C7" sqref="C7:L32"/>
    </sheetView>
  </sheetViews>
  <sheetFormatPr defaultColWidth="9.28515625" defaultRowHeight="12.75"/>
  <cols>
    <col min="1" max="1" width="11.7109375" style="492" bestFit="1" customWidth="1"/>
    <col min="2" max="2" width="93.42578125" style="492" customWidth="1"/>
    <col min="3" max="3" width="17.140625" style="492" bestFit="1" customWidth="1"/>
    <col min="4" max="5" width="16.140625" style="492" customWidth="1"/>
    <col min="6" max="6" width="16.140625" style="546" customWidth="1"/>
    <col min="7" max="7" width="32" style="546" customWidth="1"/>
    <col min="8" max="8" width="16.140625" style="492" customWidth="1"/>
    <col min="9" max="11" width="16.140625" style="546" customWidth="1"/>
    <col min="12" max="12" width="29.42578125" style="546" customWidth="1"/>
    <col min="13" max="16384" width="9.28515625" style="492"/>
  </cols>
  <sheetData>
    <row r="1" spans="1:13" ht="13.5">
      <c r="A1" s="379" t="s">
        <v>108</v>
      </c>
      <c r="B1" s="306" t="str">
        <f>Info!C2</f>
        <v>JSC "VTB Bank (Georgia)"</v>
      </c>
      <c r="F1" s="492"/>
      <c r="G1" s="492"/>
      <c r="I1" s="492"/>
      <c r="J1" s="492"/>
      <c r="K1" s="492"/>
      <c r="L1" s="492"/>
    </row>
    <row r="2" spans="1:13">
      <c r="A2" s="381" t="s">
        <v>109</v>
      </c>
      <c r="B2" s="383">
        <f>Info!D2</f>
        <v>45657</v>
      </c>
      <c r="F2" s="492"/>
      <c r="G2" s="492"/>
      <c r="I2" s="492"/>
      <c r="J2" s="492"/>
      <c r="K2" s="492"/>
      <c r="L2" s="492"/>
    </row>
    <row r="3" spans="1:13">
      <c r="A3" s="382" t="s">
        <v>594</v>
      </c>
      <c r="F3" s="492"/>
      <c r="G3" s="492"/>
      <c r="I3" s="492"/>
      <c r="J3" s="492"/>
      <c r="K3" s="492"/>
      <c r="L3" s="492"/>
    </row>
    <row r="4" spans="1:13">
      <c r="F4" s="492"/>
      <c r="G4" s="492"/>
      <c r="I4" s="492"/>
      <c r="J4" s="492"/>
      <c r="K4" s="492"/>
      <c r="L4" s="492"/>
    </row>
    <row r="5" spans="1:13" ht="37.5" customHeight="1">
      <c r="A5" s="862" t="s">
        <v>595</v>
      </c>
      <c r="B5" s="863"/>
      <c r="C5" s="913" t="s">
        <v>596</v>
      </c>
      <c r="D5" s="914"/>
      <c r="E5" s="914"/>
      <c r="F5" s="914"/>
      <c r="G5" s="914"/>
      <c r="H5" s="915" t="s">
        <v>907</v>
      </c>
      <c r="I5" s="916"/>
      <c r="J5" s="916"/>
      <c r="K5" s="916"/>
      <c r="L5" s="917"/>
    </row>
    <row r="6" spans="1:13" ht="39.6" customHeight="1">
      <c r="A6" s="866"/>
      <c r="B6" s="867"/>
      <c r="C6" s="389"/>
      <c r="D6" s="490" t="s">
        <v>892</v>
      </c>
      <c r="E6" s="490" t="s">
        <v>891</v>
      </c>
      <c r="F6" s="490" t="s">
        <v>890</v>
      </c>
      <c r="G6" s="490" t="s">
        <v>889</v>
      </c>
      <c r="H6" s="549"/>
      <c r="I6" s="490" t="s">
        <v>892</v>
      </c>
      <c r="J6" s="490" t="s">
        <v>891</v>
      </c>
      <c r="K6" s="490" t="s">
        <v>890</v>
      </c>
      <c r="L6" s="490" t="s">
        <v>889</v>
      </c>
    </row>
    <row r="7" spans="1:13">
      <c r="A7" s="481">
        <v>1</v>
      </c>
      <c r="B7" s="496" t="s">
        <v>518</v>
      </c>
      <c r="C7" s="774">
        <v>0</v>
      </c>
      <c r="D7" s="719">
        <v>0</v>
      </c>
      <c r="E7" s="719">
        <v>0</v>
      </c>
      <c r="F7" s="719">
        <v>0</v>
      </c>
      <c r="G7" s="719">
        <v>0</v>
      </c>
      <c r="H7" s="719">
        <v>0</v>
      </c>
      <c r="I7" s="719">
        <v>0</v>
      </c>
      <c r="J7" s="719">
        <v>0</v>
      </c>
      <c r="K7" s="719">
        <v>0</v>
      </c>
      <c r="L7" s="719">
        <v>0</v>
      </c>
      <c r="M7" s="663"/>
    </row>
    <row r="8" spans="1:13">
      <c r="A8" s="481">
        <v>2</v>
      </c>
      <c r="B8" s="496" t="s">
        <v>519</v>
      </c>
      <c r="C8" s="774">
        <v>6928576.4190759985</v>
      </c>
      <c r="D8" s="719">
        <v>6681096.5281759985</v>
      </c>
      <c r="E8" s="719">
        <v>5259.08</v>
      </c>
      <c r="F8" s="775">
        <v>242220.81090000001</v>
      </c>
      <c r="G8" s="775"/>
      <c r="H8" s="719">
        <v>242982.7002305671</v>
      </c>
      <c r="I8" s="775">
        <v>25495.575785928999</v>
      </c>
      <c r="J8" s="775">
        <v>4311.1842169449001</v>
      </c>
      <c r="K8" s="775">
        <v>213175.94022769321</v>
      </c>
      <c r="L8" s="775"/>
      <c r="M8" s="663"/>
    </row>
    <row r="9" spans="1:13">
      <c r="A9" s="481">
        <v>3</v>
      </c>
      <c r="B9" s="496" t="s">
        <v>868</v>
      </c>
      <c r="C9" s="774">
        <v>0</v>
      </c>
      <c r="D9" s="719">
        <v>0</v>
      </c>
      <c r="E9" s="719">
        <v>0</v>
      </c>
      <c r="F9" s="776">
        <v>0</v>
      </c>
      <c r="G9" s="776"/>
      <c r="H9" s="719">
        <v>0</v>
      </c>
      <c r="I9" s="776">
        <v>0</v>
      </c>
      <c r="J9" s="776">
        <v>0</v>
      </c>
      <c r="K9" s="776">
        <v>0</v>
      </c>
      <c r="L9" s="776"/>
      <c r="M9" s="663"/>
    </row>
    <row r="10" spans="1:13">
      <c r="A10" s="481">
        <v>4</v>
      </c>
      <c r="B10" s="496" t="s">
        <v>520</v>
      </c>
      <c r="C10" s="774">
        <v>7776779.5124999993</v>
      </c>
      <c r="D10" s="719">
        <v>0</v>
      </c>
      <c r="E10" s="719">
        <v>0</v>
      </c>
      <c r="F10" s="776">
        <v>7776779.5124999993</v>
      </c>
      <c r="G10" s="776"/>
      <c r="H10" s="719">
        <v>1036864.0342041519</v>
      </c>
      <c r="I10" s="776">
        <v>0</v>
      </c>
      <c r="J10" s="776">
        <v>0</v>
      </c>
      <c r="K10" s="776">
        <v>1036864.0342041519</v>
      </c>
      <c r="L10" s="776"/>
      <c r="M10" s="663"/>
    </row>
    <row r="11" spans="1:13">
      <c r="A11" s="481">
        <v>5</v>
      </c>
      <c r="B11" s="496" t="s">
        <v>521</v>
      </c>
      <c r="C11" s="774">
        <v>6054639.0070199994</v>
      </c>
      <c r="D11" s="719">
        <v>5312451.0853999993</v>
      </c>
      <c r="E11" s="719">
        <v>0</v>
      </c>
      <c r="F11" s="776">
        <v>742187.92162000004</v>
      </c>
      <c r="G11" s="776"/>
      <c r="H11" s="719">
        <v>225191.13900444374</v>
      </c>
      <c r="I11" s="776">
        <v>2534.7625184437366</v>
      </c>
      <c r="J11" s="776">
        <v>0</v>
      </c>
      <c r="K11" s="776">
        <v>222656.37648599999</v>
      </c>
      <c r="L11" s="776"/>
      <c r="M11" s="663"/>
    </row>
    <row r="12" spans="1:13">
      <c r="A12" s="481">
        <v>6</v>
      </c>
      <c r="B12" s="496" t="s">
        <v>522</v>
      </c>
      <c r="C12" s="774">
        <v>0</v>
      </c>
      <c r="D12" s="719">
        <v>0</v>
      </c>
      <c r="E12" s="719">
        <v>0</v>
      </c>
      <c r="F12" s="776">
        <v>0</v>
      </c>
      <c r="G12" s="776"/>
      <c r="H12" s="719">
        <v>0</v>
      </c>
      <c r="I12" s="776">
        <v>0</v>
      </c>
      <c r="J12" s="776">
        <v>0</v>
      </c>
      <c r="K12" s="776">
        <v>0</v>
      </c>
      <c r="L12" s="776"/>
      <c r="M12" s="663"/>
    </row>
    <row r="13" spans="1:13">
      <c r="A13" s="481">
        <v>7</v>
      </c>
      <c r="B13" s="496" t="s">
        <v>523</v>
      </c>
      <c r="C13" s="774">
        <v>0</v>
      </c>
      <c r="D13" s="719">
        <v>0</v>
      </c>
      <c r="E13" s="719">
        <v>0</v>
      </c>
      <c r="F13" s="776">
        <v>0</v>
      </c>
      <c r="G13" s="776"/>
      <c r="H13" s="719">
        <v>0</v>
      </c>
      <c r="I13" s="776">
        <v>0</v>
      </c>
      <c r="J13" s="776">
        <v>0</v>
      </c>
      <c r="K13" s="776">
        <v>0</v>
      </c>
      <c r="L13" s="776"/>
      <c r="M13" s="663"/>
    </row>
    <row r="14" spans="1:13">
      <c r="A14" s="481">
        <v>8</v>
      </c>
      <c r="B14" s="496" t="s">
        <v>524</v>
      </c>
      <c r="C14" s="774">
        <v>50348446.268693998</v>
      </c>
      <c r="D14" s="719">
        <v>8163951.4502139995</v>
      </c>
      <c r="E14" s="719">
        <v>0</v>
      </c>
      <c r="F14" s="776">
        <v>42184494.81848</v>
      </c>
      <c r="G14" s="776"/>
      <c r="H14" s="719">
        <v>7090746.6479702285</v>
      </c>
      <c r="I14" s="776">
        <v>4824.5377297991527</v>
      </c>
      <c r="J14" s="776">
        <v>0</v>
      </c>
      <c r="K14" s="776">
        <v>7085922.1102404296</v>
      </c>
      <c r="L14" s="776"/>
      <c r="M14" s="663"/>
    </row>
    <row r="15" spans="1:13">
      <c r="A15" s="481">
        <v>9</v>
      </c>
      <c r="B15" s="496" t="s">
        <v>525</v>
      </c>
      <c r="C15" s="774">
        <v>34448446.689268</v>
      </c>
      <c r="D15" s="719">
        <v>131693.43</v>
      </c>
      <c r="E15" s="719">
        <v>2977832.5366679998</v>
      </c>
      <c r="F15" s="776">
        <v>31338920.722600002</v>
      </c>
      <c r="G15" s="776"/>
      <c r="H15" s="719">
        <v>3402734.6430021939</v>
      </c>
      <c r="I15" s="776">
        <v>42.6162384334664</v>
      </c>
      <c r="J15" s="776">
        <v>297680.86512253789</v>
      </c>
      <c r="K15" s="776">
        <v>3105011.1616412224</v>
      </c>
      <c r="L15" s="776"/>
      <c r="M15" s="663"/>
    </row>
    <row r="16" spans="1:13">
      <c r="A16" s="481">
        <v>10</v>
      </c>
      <c r="B16" s="496" t="s">
        <v>526</v>
      </c>
      <c r="C16" s="774">
        <v>7558.65</v>
      </c>
      <c r="D16" s="719">
        <v>0</v>
      </c>
      <c r="E16" s="719">
        <v>0</v>
      </c>
      <c r="F16" s="776">
        <v>7558.65</v>
      </c>
      <c r="G16" s="776"/>
      <c r="H16" s="719">
        <v>7558.65</v>
      </c>
      <c r="I16" s="776">
        <v>0</v>
      </c>
      <c r="J16" s="776">
        <v>0</v>
      </c>
      <c r="K16" s="776">
        <v>7558.65</v>
      </c>
      <c r="L16" s="776"/>
      <c r="M16" s="663"/>
    </row>
    <row r="17" spans="1:13">
      <c r="A17" s="481">
        <v>11</v>
      </c>
      <c r="B17" s="496" t="s">
        <v>527</v>
      </c>
      <c r="C17" s="774">
        <v>0</v>
      </c>
      <c r="D17" s="719">
        <v>0</v>
      </c>
      <c r="E17" s="719">
        <v>0</v>
      </c>
      <c r="F17" s="776">
        <v>0</v>
      </c>
      <c r="G17" s="776"/>
      <c r="H17" s="719">
        <v>0</v>
      </c>
      <c r="I17" s="776">
        <v>0</v>
      </c>
      <c r="J17" s="776">
        <v>0</v>
      </c>
      <c r="K17" s="776">
        <v>0</v>
      </c>
      <c r="L17" s="776"/>
      <c r="M17" s="663"/>
    </row>
    <row r="18" spans="1:13">
      <c r="A18" s="481">
        <v>12</v>
      </c>
      <c r="B18" s="496" t="s">
        <v>528</v>
      </c>
      <c r="C18" s="774">
        <v>5449994.2352</v>
      </c>
      <c r="D18" s="719">
        <v>4608109.6952</v>
      </c>
      <c r="E18" s="719">
        <v>0</v>
      </c>
      <c r="F18" s="776">
        <v>841884.53999999992</v>
      </c>
      <c r="G18" s="776"/>
      <c r="H18" s="719">
        <v>655974.07690583484</v>
      </c>
      <c r="I18" s="776">
        <v>2663.08320726389</v>
      </c>
      <c r="J18" s="776">
        <v>0</v>
      </c>
      <c r="K18" s="776">
        <v>653310.99369857099</v>
      </c>
      <c r="L18" s="776"/>
      <c r="M18" s="663"/>
    </row>
    <row r="19" spans="1:13">
      <c r="A19" s="481">
        <v>13</v>
      </c>
      <c r="B19" s="496" t="s">
        <v>529</v>
      </c>
      <c r="C19" s="774">
        <v>4219145.1366034634</v>
      </c>
      <c r="D19" s="719">
        <v>0</v>
      </c>
      <c r="E19" s="719">
        <v>4219145.1366034634</v>
      </c>
      <c r="F19" s="776">
        <v>0</v>
      </c>
      <c r="G19" s="776"/>
      <c r="H19" s="719">
        <v>421904.04277699563</v>
      </c>
      <c r="I19" s="776">
        <v>0</v>
      </c>
      <c r="J19" s="776">
        <v>421904.04277699563</v>
      </c>
      <c r="K19" s="776">
        <v>0</v>
      </c>
      <c r="L19" s="776"/>
      <c r="M19" s="663"/>
    </row>
    <row r="20" spans="1:13">
      <c r="A20" s="481">
        <v>14</v>
      </c>
      <c r="B20" s="496" t="s">
        <v>530</v>
      </c>
      <c r="C20" s="774">
        <v>37075152.303457841</v>
      </c>
      <c r="D20" s="719">
        <v>23552092.378724001</v>
      </c>
      <c r="E20" s="719">
        <v>3154833.5447338358</v>
      </c>
      <c r="F20" s="776">
        <v>10368226.380000001</v>
      </c>
      <c r="G20" s="776"/>
      <c r="H20" s="719">
        <v>3373736.2585491682</v>
      </c>
      <c r="I20" s="776">
        <v>242411.93389123562</v>
      </c>
      <c r="J20" s="776">
        <v>244630.34983854569</v>
      </c>
      <c r="K20" s="776">
        <v>2886693.9748193868</v>
      </c>
      <c r="L20" s="776"/>
      <c r="M20" s="663"/>
    </row>
    <row r="21" spans="1:13">
      <c r="A21" s="481">
        <v>15</v>
      </c>
      <c r="B21" s="496" t="s">
        <v>531</v>
      </c>
      <c r="C21" s="774">
        <v>0</v>
      </c>
      <c r="D21" s="719">
        <v>0</v>
      </c>
      <c r="E21" s="719">
        <v>0</v>
      </c>
      <c r="F21" s="776">
        <v>0</v>
      </c>
      <c r="G21" s="776"/>
      <c r="H21" s="719">
        <v>0</v>
      </c>
      <c r="I21" s="776">
        <v>0</v>
      </c>
      <c r="J21" s="776">
        <v>0</v>
      </c>
      <c r="K21" s="776">
        <v>0</v>
      </c>
      <c r="L21" s="776"/>
      <c r="M21" s="663"/>
    </row>
    <row r="22" spans="1:13">
      <c r="A22" s="481">
        <v>16</v>
      </c>
      <c r="B22" s="496" t="s">
        <v>532</v>
      </c>
      <c r="C22" s="774">
        <v>0</v>
      </c>
      <c r="D22" s="719">
        <v>0</v>
      </c>
      <c r="E22" s="719">
        <v>0</v>
      </c>
      <c r="F22" s="776">
        <v>0</v>
      </c>
      <c r="G22" s="776"/>
      <c r="H22" s="719">
        <v>0</v>
      </c>
      <c r="I22" s="776">
        <v>0</v>
      </c>
      <c r="J22" s="776">
        <v>0</v>
      </c>
      <c r="K22" s="776">
        <v>0</v>
      </c>
      <c r="L22" s="776"/>
      <c r="M22" s="663"/>
    </row>
    <row r="23" spans="1:13">
      <c r="A23" s="481">
        <v>17</v>
      </c>
      <c r="B23" s="496" t="s">
        <v>533</v>
      </c>
      <c r="C23" s="774">
        <v>17682956.397138029</v>
      </c>
      <c r="D23" s="719">
        <v>0</v>
      </c>
      <c r="E23" s="719">
        <v>13627470.019938027</v>
      </c>
      <c r="F23" s="776">
        <v>4055486.3772000005</v>
      </c>
      <c r="G23" s="776"/>
      <c r="H23" s="719">
        <v>2103386.4284050902</v>
      </c>
      <c r="I23" s="776">
        <v>0</v>
      </c>
      <c r="J23" s="776">
        <v>66751.708305928536</v>
      </c>
      <c r="K23" s="776">
        <v>2036634.7200991618</v>
      </c>
      <c r="L23" s="776"/>
      <c r="M23" s="663"/>
    </row>
    <row r="24" spans="1:13">
      <c r="A24" s="481">
        <v>18</v>
      </c>
      <c r="B24" s="496" t="s">
        <v>534</v>
      </c>
      <c r="C24" s="774">
        <v>0</v>
      </c>
      <c r="D24" s="719">
        <v>0</v>
      </c>
      <c r="E24" s="719">
        <v>0</v>
      </c>
      <c r="F24" s="776">
        <v>0</v>
      </c>
      <c r="G24" s="776"/>
      <c r="H24" s="719">
        <v>0</v>
      </c>
      <c r="I24" s="776">
        <v>0</v>
      </c>
      <c r="J24" s="776">
        <v>0</v>
      </c>
      <c r="K24" s="776">
        <v>0</v>
      </c>
      <c r="L24" s="776"/>
      <c r="M24" s="663"/>
    </row>
    <row r="25" spans="1:13">
      <c r="A25" s="481">
        <v>19</v>
      </c>
      <c r="B25" s="496" t="s">
        <v>535</v>
      </c>
      <c r="C25" s="774">
        <v>0</v>
      </c>
      <c r="D25" s="719">
        <v>0</v>
      </c>
      <c r="E25" s="719">
        <v>0</v>
      </c>
      <c r="F25" s="776">
        <v>0</v>
      </c>
      <c r="G25" s="776"/>
      <c r="H25" s="719">
        <v>0</v>
      </c>
      <c r="I25" s="776">
        <v>0</v>
      </c>
      <c r="J25" s="776">
        <v>0</v>
      </c>
      <c r="K25" s="776">
        <v>0</v>
      </c>
      <c r="L25" s="776"/>
      <c r="M25" s="663"/>
    </row>
    <row r="26" spans="1:13">
      <c r="A26" s="481">
        <v>20</v>
      </c>
      <c r="B26" s="496" t="s">
        <v>536</v>
      </c>
      <c r="C26" s="774">
        <v>7112549.0599999996</v>
      </c>
      <c r="D26" s="719">
        <v>7112549.0599999996</v>
      </c>
      <c r="E26" s="719">
        <v>0</v>
      </c>
      <c r="F26" s="776">
        <v>0</v>
      </c>
      <c r="G26" s="776"/>
      <c r="H26" s="719">
        <v>6266.6509716607252</v>
      </c>
      <c r="I26" s="776">
        <v>6266.6509716607252</v>
      </c>
      <c r="J26" s="776">
        <v>0</v>
      </c>
      <c r="K26" s="776">
        <v>0</v>
      </c>
      <c r="L26" s="776"/>
      <c r="M26" s="663"/>
    </row>
    <row r="27" spans="1:13">
      <c r="A27" s="481">
        <v>21</v>
      </c>
      <c r="B27" s="496" t="s">
        <v>537</v>
      </c>
      <c r="C27" s="774">
        <v>0</v>
      </c>
      <c r="D27" s="719">
        <v>0</v>
      </c>
      <c r="E27" s="719">
        <v>0</v>
      </c>
      <c r="F27" s="776">
        <v>0</v>
      </c>
      <c r="G27" s="776"/>
      <c r="H27" s="719">
        <v>0</v>
      </c>
      <c r="I27" s="776">
        <v>0</v>
      </c>
      <c r="J27" s="776">
        <v>0</v>
      </c>
      <c r="K27" s="776">
        <v>0</v>
      </c>
      <c r="L27" s="776"/>
      <c r="M27" s="663"/>
    </row>
    <row r="28" spans="1:13">
      <c r="A28" s="481">
        <v>22</v>
      </c>
      <c r="B28" s="496" t="s">
        <v>538</v>
      </c>
      <c r="C28" s="774">
        <v>0</v>
      </c>
      <c r="D28" s="719">
        <v>0</v>
      </c>
      <c r="E28" s="719">
        <v>0</v>
      </c>
      <c r="F28" s="776">
        <v>0</v>
      </c>
      <c r="G28" s="776"/>
      <c r="H28" s="719">
        <v>0</v>
      </c>
      <c r="I28" s="776">
        <v>0</v>
      </c>
      <c r="J28" s="776">
        <v>0</v>
      </c>
      <c r="K28" s="776">
        <v>0</v>
      </c>
      <c r="L28" s="776"/>
      <c r="M28" s="663"/>
    </row>
    <row r="29" spans="1:13">
      <c r="A29" s="481">
        <v>23</v>
      </c>
      <c r="B29" s="496" t="s">
        <v>539</v>
      </c>
      <c r="C29" s="774">
        <v>11312673.617214002</v>
      </c>
      <c r="D29" s="719">
        <v>226692.753214</v>
      </c>
      <c r="E29" s="719">
        <v>0</v>
      </c>
      <c r="F29" s="776">
        <v>11085980.864000002</v>
      </c>
      <c r="G29" s="776"/>
      <c r="H29" s="719">
        <v>3051362.3606009032</v>
      </c>
      <c r="I29" s="776">
        <v>403.46593756675401</v>
      </c>
      <c r="J29" s="776">
        <v>0</v>
      </c>
      <c r="K29" s="776">
        <v>3050958.8946633362</v>
      </c>
      <c r="L29" s="776"/>
      <c r="M29" s="663"/>
    </row>
    <row r="30" spans="1:13">
      <c r="A30" s="481">
        <v>24</v>
      </c>
      <c r="B30" s="496" t="s">
        <v>540</v>
      </c>
      <c r="C30" s="774">
        <v>5562051.095999999</v>
      </c>
      <c r="D30" s="719">
        <v>776096.46409999998</v>
      </c>
      <c r="E30" s="719">
        <v>0</v>
      </c>
      <c r="F30" s="776">
        <v>4785954.6318999995</v>
      </c>
      <c r="G30" s="776"/>
      <c r="H30" s="719">
        <v>1604389.1512104648</v>
      </c>
      <c r="I30" s="776">
        <v>1436.1415226156109</v>
      </c>
      <c r="J30" s="776">
        <v>0</v>
      </c>
      <c r="K30" s="776">
        <v>1602953.0096878491</v>
      </c>
      <c r="L30" s="776"/>
      <c r="M30" s="663"/>
    </row>
    <row r="31" spans="1:13">
      <c r="A31" s="481">
        <v>25</v>
      </c>
      <c r="B31" s="496" t="s">
        <v>541</v>
      </c>
      <c r="C31" s="774">
        <v>0</v>
      </c>
      <c r="D31" s="719">
        <v>0</v>
      </c>
      <c r="E31" s="719">
        <v>0</v>
      </c>
      <c r="F31" s="776">
        <v>0</v>
      </c>
      <c r="G31" s="776"/>
      <c r="H31" s="719">
        <v>0</v>
      </c>
      <c r="I31" s="776">
        <v>0</v>
      </c>
      <c r="J31" s="776">
        <v>0</v>
      </c>
      <c r="K31" s="776">
        <v>0</v>
      </c>
      <c r="L31" s="776"/>
      <c r="M31" s="663"/>
    </row>
    <row r="32" spans="1:13">
      <c r="A32" s="481">
        <v>26</v>
      </c>
      <c r="B32" s="496" t="s">
        <v>597</v>
      </c>
      <c r="C32" s="774">
        <v>1003498.557454</v>
      </c>
      <c r="D32" s="719">
        <v>277348</v>
      </c>
      <c r="E32" s="719">
        <v>0</v>
      </c>
      <c r="F32" s="776">
        <v>726151</v>
      </c>
      <c r="G32" s="776"/>
      <c r="H32" s="719">
        <v>49173.778187176104</v>
      </c>
      <c r="I32" s="776">
        <v>4753.8948057475</v>
      </c>
      <c r="J32" s="776">
        <v>0</v>
      </c>
      <c r="K32" s="776">
        <v>44419.883381428604</v>
      </c>
      <c r="L32" s="776"/>
      <c r="M32" s="663"/>
    </row>
    <row r="33" spans="1:12" ht="15">
      <c r="A33" s="481">
        <v>27</v>
      </c>
      <c r="B33" s="548" t="s">
        <v>66</v>
      </c>
      <c r="C33" s="697">
        <f>SUM(C7:C32)</f>
        <v>194982466.94962528</v>
      </c>
      <c r="D33" s="697">
        <f t="shared" ref="D33:L33" si="0">SUM(D7:D32)</f>
        <v>56842080.845028006</v>
      </c>
      <c r="E33" s="697">
        <f t="shared" si="0"/>
        <v>23984540.317943327</v>
      </c>
      <c r="F33" s="697">
        <f t="shared" si="0"/>
        <v>114155846.22920002</v>
      </c>
      <c r="G33" s="697">
        <f t="shared" si="0"/>
        <v>0</v>
      </c>
      <c r="H33" s="697">
        <f t="shared" si="0"/>
        <v>23272270.562018879</v>
      </c>
      <c r="I33" s="697">
        <f t="shared" si="0"/>
        <v>290832.66260869551</v>
      </c>
      <c r="J33" s="697">
        <f t="shared" si="0"/>
        <v>1035278.1502609525</v>
      </c>
      <c r="K33" s="697">
        <f t="shared" si="0"/>
        <v>21946159.749149233</v>
      </c>
      <c r="L33" s="697">
        <f t="shared" si="0"/>
        <v>0</v>
      </c>
    </row>
    <row r="34" spans="1:12">
      <c r="A34" s="509"/>
      <c r="B34" s="509"/>
      <c r="C34" s="699">
        <f>C33-'23. LTV'!C8</f>
        <v>0.46882197260856628</v>
      </c>
      <c r="D34" s="509"/>
      <c r="E34" s="509"/>
      <c r="F34" s="797">
        <f>F33-'18. Assets by Exposure classes'!C21</f>
        <v>0.35955542325973511</v>
      </c>
      <c r="H34" s="509"/>
    </row>
    <row r="35" spans="1:12">
      <c r="A35" s="509"/>
      <c r="B35" s="547"/>
      <c r="C35" s="798">
        <f>SUM(D33:F33)-C33</f>
        <v>0.44254606962203979</v>
      </c>
      <c r="D35" s="509"/>
      <c r="E35" s="509"/>
      <c r="H35" s="798">
        <f>SUM(I33:K33)-H33</f>
        <v>0</v>
      </c>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topLeftCell="C1" zoomScale="70" zoomScaleNormal="70" workbookViewId="0">
      <selection activeCell="C8" sqref="C8:K8"/>
    </sheetView>
  </sheetViews>
  <sheetFormatPr defaultColWidth="8.7109375" defaultRowHeight="12"/>
  <cols>
    <col min="1" max="1" width="11.7109375" style="390" bestFit="1" customWidth="1"/>
    <col min="2" max="2" width="48.28515625" style="390" customWidth="1"/>
    <col min="3" max="11" width="28.28515625" style="390" customWidth="1"/>
    <col min="12" max="12" width="13" style="390" bestFit="1" customWidth="1"/>
    <col min="13" max="16384" width="8.7109375" style="390"/>
  </cols>
  <sheetData>
    <row r="1" spans="1:12" s="380" customFormat="1" ht="13.5">
      <c r="A1" s="379" t="s">
        <v>108</v>
      </c>
      <c r="B1" s="306" t="str">
        <f>Info!C2</f>
        <v>JSC "VTB Bank (Georgia)"</v>
      </c>
      <c r="C1" s="492"/>
      <c r="D1" s="492"/>
      <c r="E1" s="492"/>
      <c r="F1" s="492"/>
      <c r="G1" s="492"/>
      <c r="H1" s="492"/>
      <c r="I1" s="492"/>
      <c r="J1" s="492"/>
      <c r="K1" s="492"/>
    </row>
    <row r="2" spans="1:12" s="380" customFormat="1" ht="12.75">
      <c r="A2" s="381" t="s">
        <v>109</v>
      </c>
      <c r="B2" s="383">
        <f>Info!D2</f>
        <v>45657</v>
      </c>
      <c r="C2" s="492"/>
      <c r="D2" s="492"/>
      <c r="E2" s="492"/>
      <c r="F2" s="492"/>
      <c r="G2" s="492"/>
      <c r="H2" s="492"/>
      <c r="I2" s="492"/>
      <c r="J2" s="492"/>
      <c r="K2" s="492"/>
    </row>
    <row r="3" spans="1:12" s="380" customFormat="1" ht="12.75">
      <c r="A3" s="382" t="s">
        <v>598</v>
      </c>
      <c r="B3" s="492"/>
      <c r="C3" s="492"/>
      <c r="D3" s="492"/>
      <c r="E3" s="492"/>
      <c r="F3" s="492"/>
      <c r="G3" s="492"/>
      <c r="H3" s="492"/>
      <c r="I3" s="492"/>
      <c r="J3" s="492"/>
      <c r="K3" s="492"/>
    </row>
    <row r="4" spans="1:12">
      <c r="A4" s="554"/>
      <c r="B4" s="554"/>
      <c r="C4" s="553" t="s">
        <v>502</v>
      </c>
      <c r="D4" s="553" t="s">
        <v>503</v>
      </c>
      <c r="E4" s="553" t="s">
        <v>504</v>
      </c>
      <c r="F4" s="553" t="s">
        <v>505</v>
      </c>
      <c r="G4" s="553" t="s">
        <v>506</v>
      </c>
      <c r="H4" s="553" t="s">
        <v>507</v>
      </c>
      <c r="I4" s="553" t="s">
        <v>508</v>
      </c>
      <c r="J4" s="553" t="s">
        <v>509</v>
      </c>
      <c r="K4" s="553" t="s">
        <v>510</v>
      </c>
    </row>
    <row r="5" spans="1:12" ht="104.1" customHeight="1">
      <c r="A5" s="918" t="s">
        <v>906</v>
      </c>
      <c r="B5" s="919"/>
      <c r="C5" s="552" t="s">
        <v>599</v>
      </c>
      <c r="D5" s="552" t="s">
        <v>592</v>
      </c>
      <c r="E5" s="552" t="s">
        <v>593</v>
      </c>
      <c r="F5" s="552" t="s">
        <v>905</v>
      </c>
      <c r="G5" s="552" t="s">
        <v>600</v>
      </c>
      <c r="H5" s="552" t="s">
        <v>601</v>
      </c>
      <c r="I5" s="552" t="s">
        <v>602</v>
      </c>
      <c r="J5" s="552" t="s">
        <v>603</v>
      </c>
      <c r="K5" s="552" t="s">
        <v>604</v>
      </c>
    </row>
    <row r="6" spans="1:12" ht="12.75">
      <c r="A6" s="481">
        <v>1</v>
      </c>
      <c r="B6" s="481" t="s">
        <v>605</v>
      </c>
      <c r="C6" s="777">
        <v>777018.43559999997</v>
      </c>
      <c r="D6" s="777">
        <v>44648.72</v>
      </c>
      <c r="E6" s="777">
        <v>0</v>
      </c>
      <c r="F6" s="777">
        <v>0</v>
      </c>
      <c r="G6" s="777">
        <v>158695349.30721128</v>
      </c>
      <c r="H6" s="777">
        <v>4065086.2928999998</v>
      </c>
      <c r="I6" s="777">
        <v>12747072.393378031</v>
      </c>
      <c r="J6" s="777">
        <v>3342835.4560000007</v>
      </c>
      <c r="K6" s="777">
        <v>15310456.344536001</v>
      </c>
    </row>
    <row r="7" spans="1:12" ht="12.75">
      <c r="A7" s="481">
        <v>2</v>
      </c>
      <c r="B7" s="482" t="s">
        <v>606</v>
      </c>
      <c r="C7" s="777"/>
      <c r="D7" s="777"/>
      <c r="E7" s="777"/>
      <c r="F7" s="777"/>
      <c r="G7" s="777"/>
      <c r="H7" s="777"/>
      <c r="I7" s="777"/>
      <c r="J7" s="777"/>
      <c r="K7" s="777"/>
    </row>
    <row r="8" spans="1:12" ht="12.75">
      <c r="A8" s="481">
        <v>3</v>
      </c>
      <c r="B8" s="482" t="s">
        <v>570</v>
      </c>
      <c r="C8" s="777">
        <v>46247.526700000002</v>
      </c>
      <c r="D8" s="777">
        <v>0</v>
      </c>
      <c r="E8" s="777">
        <v>0</v>
      </c>
      <c r="F8" s="777">
        <v>0</v>
      </c>
      <c r="G8" s="777">
        <v>49159.169600000001</v>
      </c>
      <c r="H8" s="777">
        <v>0</v>
      </c>
      <c r="I8" s="777">
        <v>0</v>
      </c>
      <c r="J8" s="777">
        <v>0</v>
      </c>
      <c r="K8" s="777">
        <v>120840.83040000001</v>
      </c>
    </row>
    <row r="9" spans="1:12" ht="12.75">
      <c r="A9" s="481">
        <v>4</v>
      </c>
      <c r="B9" s="511" t="s">
        <v>904</v>
      </c>
      <c r="C9" s="778">
        <v>777018.43559999997</v>
      </c>
      <c r="D9" s="778">
        <v>0</v>
      </c>
      <c r="E9" s="778">
        <v>0</v>
      </c>
      <c r="F9" s="778">
        <v>0</v>
      </c>
      <c r="G9" s="778">
        <v>99137842.323309988</v>
      </c>
      <c r="H9" s="778">
        <v>4065086.2928999998</v>
      </c>
      <c r="I9" s="778">
        <v>5903258.9877800038</v>
      </c>
      <c r="J9" s="778">
        <v>3567135</v>
      </c>
      <c r="K9" s="778">
        <v>705504.68098000006</v>
      </c>
      <c r="L9" s="698">
        <f>SUM(C9:K9)-'18. Assets by Exposure classes'!C22</f>
        <v>-0.14907461404800415</v>
      </c>
    </row>
    <row r="10" spans="1:12" ht="12.75">
      <c r="A10" s="481">
        <v>5</v>
      </c>
      <c r="B10" s="500" t="s">
        <v>903</v>
      </c>
      <c r="C10" s="551"/>
      <c r="D10" s="551"/>
      <c r="E10" s="551"/>
      <c r="F10" s="551"/>
      <c r="G10" s="551"/>
      <c r="H10" s="551"/>
      <c r="I10" s="551"/>
      <c r="J10" s="551"/>
      <c r="K10" s="551"/>
    </row>
    <row r="11" spans="1:12" ht="12.75">
      <c r="A11" s="481">
        <v>6</v>
      </c>
      <c r="B11" s="500" t="s">
        <v>902</v>
      </c>
      <c r="C11" s="551"/>
      <c r="D11" s="551"/>
      <c r="E11" s="551"/>
      <c r="F11" s="551"/>
      <c r="G11" s="551"/>
      <c r="H11" s="551"/>
      <c r="I11" s="551"/>
      <c r="J11" s="551"/>
      <c r="K11" s="551"/>
    </row>
    <row r="13" spans="1:12" ht="15">
      <c r="B13" s="550"/>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zoomScale="55" zoomScaleNormal="55" workbookViewId="0">
      <selection activeCell="A7" sqref="A7"/>
    </sheetView>
  </sheetViews>
  <sheetFormatPr defaultColWidth="8.7109375" defaultRowHeight="15"/>
  <cols>
    <col min="1" max="1" width="10" style="555" bestFit="1" customWidth="1"/>
    <col min="2" max="2" width="71.7109375" style="555" customWidth="1"/>
    <col min="3" max="3" width="11.42578125" style="555" bestFit="1" customWidth="1"/>
    <col min="4" max="5" width="15.28515625" style="555" bestFit="1" customWidth="1"/>
    <col min="6" max="6" width="20" style="555" bestFit="1" customWidth="1"/>
    <col min="7" max="7" width="37.7109375" style="555" bestFit="1" customWidth="1"/>
    <col min="8" max="8" width="11.28515625" style="555" bestFit="1" customWidth="1"/>
    <col min="9" max="10" width="15.28515625" style="555" bestFit="1" customWidth="1"/>
    <col min="11" max="11" width="20" style="555" bestFit="1" customWidth="1"/>
    <col min="12" max="12" width="37.7109375" style="555" bestFit="1" customWidth="1"/>
    <col min="13" max="13" width="10.7109375" style="555" bestFit="1" customWidth="1"/>
    <col min="14" max="15" width="15.28515625" style="555" bestFit="1" customWidth="1"/>
    <col min="16" max="16" width="20" style="555" bestFit="1" customWidth="1"/>
    <col min="17" max="17" width="37.7109375" style="555" bestFit="1" customWidth="1"/>
    <col min="18" max="18" width="18" style="555" bestFit="1" customWidth="1"/>
    <col min="19" max="19" width="48" style="555" bestFit="1" customWidth="1"/>
    <col min="20" max="20" width="45.7109375" style="555" bestFit="1" customWidth="1"/>
    <col min="21" max="21" width="48" style="555" bestFit="1" customWidth="1"/>
    <col min="22" max="22" width="44.28515625" style="555" bestFit="1" customWidth="1"/>
    <col min="23" max="16384" width="8.7109375" style="555"/>
  </cols>
  <sheetData>
    <row r="1" spans="1:22">
      <c r="A1" s="379" t="s">
        <v>108</v>
      </c>
      <c r="B1" s="306" t="str">
        <f>Info!C2</f>
        <v>JSC "VTB Bank (Georgia)"</v>
      </c>
    </row>
    <row r="2" spans="1:22">
      <c r="A2" s="381" t="s">
        <v>109</v>
      </c>
      <c r="B2" s="383">
        <f>Info!D2</f>
        <v>45657</v>
      </c>
    </row>
    <row r="3" spans="1:22">
      <c r="A3" s="382" t="s">
        <v>689</v>
      </c>
      <c r="B3" s="492"/>
    </row>
    <row r="4" spans="1:22">
      <c r="A4" s="382"/>
      <c r="B4" s="492"/>
    </row>
    <row r="5" spans="1:22" ht="24" customHeight="1">
      <c r="A5" s="920" t="s">
        <v>716</v>
      </c>
      <c r="B5" s="920"/>
      <c r="C5" s="922" t="s">
        <v>908</v>
      </c>
      <c r="D5" s="922"/>
      <c r="E5" s="922"/>
      <c r="F5" s="922"/>
      <c r="G5" s="922"/>
      <c r="H5" s="922" t="s">
        <v>596</v>
      </c>
      <c r="I5" s="922"/>
      <c r="J5" s="922"/>
      <c r="K5" s="922"/>
      <c r="L5" s="922"/>
      <c r="M5" s="922" t="s">
        <v>907</v>
      </c>
      <c r="N5" s="922"/>
      <c r="O5" s="922"/>
      <c r="P5" s="922"/>
      <c r="Q5" s="922"/>
      <c r="R5" s="921" t="s">
        <v>715</v>
      </c>
      <c r="S5" s="921" t="s">
        <v>719</v>
      </c>
      <c r="T5" s="921" t="s">
        <v>718</v>
      </c>
      <c r="U5" s="921" t="s">
        <v>955</v>
      </c>
      <c r="V5" s="921" t="s">
        <v>956</v>
      </c>
    </row>
    <row r="6" spans="1:22" ht="36" customHeight="1">
      <c r="A6" s="920"/>
      <c r="B6" s="920"/>
      <c r="C6" s="565"/>
      <c r="D6" s="490" t="s">
        <v>892</v>
      </c>
      <c r="E6" s="490" t="s">
        <v>891</v>
      </c>
      <c r="F6" s="490" t="s">
        <v>890</v>
      </c>
      <c r="G6" s="490" t="s">
        <v>889</v>
      </c>
      <c r="H6" s="565"/>
      <c r="I6" s="490" t="s">
        <v>892</v>
      </c>
      <c r="J6" s="490" t="s">
        <v>891</v>
      </c>
      <c r="K6" s="490" t="s">
        <v>890</v>
      </c>
      <c r="L6" s="490" t="s">
        <v>889</v>
      </c>
      <c r="M6" s="565"/>
      <c r="N6" s="490" t="s">
        <v>892</v>
      </c>
      <c r="O6" s="490" t="s">
        <v>891</v>
      </c>
      <c r="P6" s="490" t="s">
        <v>890</v>
      </c>
      <c r="Q6" s="490" t="s">
        <v>889</v>
      </c>
      <c r="R6" s="921"/>
      <c r="S6" s="921"/>
      <c r="T6" s="921"/>
      <c r="U6" s="921"/>
      <c r="V6" s="921"/>
    </row>
    <row r="7" spans="1:22">
      <c r="A7" s="563">
        <v>1</v>
      </c>
      <c r="B7" s="564" t="s">
        <v>690</v>
      </c>
      <c r="C7" s="779">
        <v>121871.26416000001</v>
      </c>
      <c r="D7" s="779">
        <v>121871.26416000001</v>
      </c>
      <c r="E7" s="779">
        <v>0</v>
      </c>
      <c r="F7" s="779">
        <v>0</v>
      </c>
      <c r="G7" s="779"/>
      <c r="H7" s="779">
        <v>124274.01056</v>
      </c>
      <c r="I7" s="779">
        <v>124274.01056</v>
      </c>
      <c r="J7" s="779">
        <v>0</v>
      </c>
      <c r="K7" s="779">
        <v>0</v>
      </c>
      <c r="L7" s="779"/>
      <c r="M7" s="779">
        <v>3870.8622068192999</v>
      </c>
      <c r="N7" s="779">
        <v>3870.8622068192999</v>
      </c>
      <c r="O7" s="779">
        <v>0</v>
      </c>
      <c r="P7" s="779">
        <v>0</v>
      </c>
      <c r="Q7" s="779"/>
      <c r="R7" s="779">
        <v>3</v>
      </c>
      <c r="S7" s="779">
        <v>0</v>
      </c>
      <c r="T7" s="779">
        <v>0</v>
      </c>
      <c r="U7" s="779">
        <v>6.1639056194065157E-2</v>
      </c>
      <c r="V7" s="779">
        <v>38.714594021533756</v>
      </c>
    </row>
    <row r="8" spans="1:22">
      <c r="A8" s="563">
        <v>2</v>
      </c>
      <c r="B8" s="562" t="s">
        <v>691</v>
      </c>
      <c r="C8" s="779">
        <v>286666.11200999998</v>
      </c>
      <c r="D8" s="779">
        <v>92259.382730000012</v>
      </c>
      <c r="E8" s="779">
        <v>4928.6899999999996</v>
      </c>
      <c r="F8" s="779">
        <v>189478.03927999997</v>
      </c>
      <c r="G8" s="779"/>
      <c r="H8" s="779">
        <v>364044.13201</v>
      </c>
      <c r="I8" s="779">
        <v>99144.512730000017</v>
      </c>
      <c r="J8" s="779">
        <v>5259.08</v>
      </c>
      <c r="K8" s="779">
        <v>259640.53928</v>
      </c>
      <c r="L8" s="779"/>
      <c r="M8" s="779">
        <v>249661.59395897388</v>
      </c>
      <c r="N8" s="779">
        <v>7924.7862190931</v>
      </c>
      <c r="O8" s="779">
        <v>4311.1842169449001</v>
      </c>
      <c r="P8" s="779">
        <v>237425.62352293587</v>
      </c>
      <c r="Q8" s="779"/>
      <c r="R8" s="779">
        <v>57</v>
      </c>
      <c r="S8" s="779">
        <v>0.15</v>
      </c>
      <c r="T8" s="779">
        <v>0.16070399999999999</v>
      </c>
      <c r="U8" s="779">
        <v>0.13211437631902181</v>
      </c>
      <c r="V8" s="779">
        <v>25.006837819568734</v>
      </c>
    </row>
    <row r="9" spans="1:22">
      <c r="A9" s="563">
        <v>3</v>
      </c>
      <c r="B9" s="562" t="s">
        <v>692</v>
      </c>
      <c r="C9" s="779">
        <v>92.83</v>
      </c>
      <c r="D9" s="779">
        <v>0</v>
      </c>
      <c r="E9" s="779">
        <v>0</v>
      </c>
      <c r="F9" s="779">
        <v>92.83</v>
      </c>
      <c r="G9" s="779"/>
      <c r="H9" s="779">
        <v>92.83</v>
      </c>
      <c r="I9" s="779">
        <v>0</v>
      </c>
      <c r="J9" s="779">
        <v>0</v>
      </c>
      <c r="K9" s="779">
        <v>92.83</v>
      </c>
      <c r="L9" s="779"/>
      <c r="M9" s="779">
        <v>79.812517840599995</v>
      </c>
      <c r="N9" s="779">
        <v>0</v>
      </c>
      <c r="O9" s="779">
        <v>0</v>
      </c>
      <c r="P9" s="779">
        <v>79.812517840599995</v>
      </c>
      <c r="Q9" s="779"/>
      <c r="R9" s="779">
        <v>1</v>
      </c>
      <c r="S9" s="779" t="s">
        <v>985</v>
      </c>
      <c r="T9" s="779" t="s">
        <v>985</v>
      </c>
      <c r="U9" s="779">
        <v>0</v>
      </c>
      <c r="V9" s="779">
        <v>0</v>
      </c>
    </row>
    <row r="10" spans="1:22">
      <c r="A10" s="563">
        <v>4</v>
      </c>
      <c r="B10" s="562" t="s">
        <v>693</v>
      </c>
      <c r="C10" s="779">
        <v>0</v>
      </c>
      <c r="D10" s="779">
        <v>0</v>
      </c>
      <c r="E10" s="779">
        <v>0</v>
      </c>
      <c r="F10" s="779">
        <v>0</v>
      </c>
      <c r="G10" s="779"/>
      <c r="H10" s="779">
        <v>0</v>
      </c>
      <c r="I10" s="779">
        <v>0</v>
      </c>
      <c r="J10" s="779">
        <v>0</v>
      </c>
      <c r="K10" s="779">
        <v>0</v>
      </c>
      <c r="L10" s="779"/>
      <c r="M10" s="779">
        <v>0</v>
      </c>
      <c r="N10" s="779">
        <v>0</v>
      </c>
      <c r="O10" s="779">
        <v>0</v>
      </c>
      <c r="P10" s="779">
        <v>0</v>
      </c>
      <c r="Q10" s="779"/>
      <c r="R10" s="779">
        <v>0</v>
      </c>
      <c r="S10" s="779" t="s">
        <v>985</v>
      </c>
      <c r="T10" s="779" t="s">
        <v>985</v>
      </c>
      <c r="U10" s="779">
        <v>0</v>
      </c>
      <c r="V10" s="779">
        <v>0</v>
      </c>
    </row>
    <row r="11" spans="1:22">
      <c r="A11" s="563">
        <v>5</v>
      </c>
      <c r="B11" s="562" t="s">
        <v>694</v>
      </c>
      <c r="C11" s="779">
        <v>0</v>
      </c>
      <c r="D11" s="779">
        <v>0</v>
      </c>
      <c r="E11" s="779">
        <v>0</v>
      </c>
      <c r="F11" s="779">
        <v>0</v>
      </c>
      <c r="G11" s="779"/>
      <c r="H11" s="779">
        <v>0</v>
      </c>
      <c r="I11" s="779">
        <v>0</v>
      </c>
      <c r="J11" s="779">
        <v>0</v>
      </c>
      <c r="K11" s="779">
        <v>0</v>
      </c>
      <c r="L11" s="779"/>
      <c r="M11" s="779">
        <v>0</v>
      </c>
      <c r="N11" s="779">
        <v>0</v>
      </c>
      <c r="O11" s="779">
        <v>0</v>
      </c>
      <c r="P11" s="779">
        <v>0</v>
      </c>
      <c r="Q11" s="779"/>
      <c r="R11" s="779">
        <v>0</v>
      </c>
      <c r="S11" s="779">
        <v>0</v>
      </c>
      <c r="T11" s="779">
        <v>0</v>
      </c>
      <c r="U11" s="779">
        <v>0</v>
      </c>
      <c r="V11" s="779">
        <v>0</v>
      </c>
    </row>
    <row r="12" spans="1:22">
      <c r="A12" s="563">
        <v>6</v>
      </c>
      <c r="B12" s="562" t="s">
        <v>695</v>
      </c>
      <c r="C12" s="779">
        <v>0</v>
      </c>
      <c r="D12" s="779">
        <v>0</v>
      </c>
      <c r="E12" s="779">
        <v>0</v>
      </c>
      <c r="F12" s="779">
        <v>0</v>
      </c>
      <c r="G12" s="779"/>
      <c r="H12" s="779">
        <v>0</v>
      </c>
      <c r="I12" s="779">
        <v>0</v>
      </c>
      <c r="J12" s="779">
        <v>0</v>
      </c>
      <c r="K12" s="779">
        <v>0</v>
      </c>
      <c r="L12" s="779"/>
      <c r="M12" s="779">
        <v>0</v>
      </c>
      <c r="N12" s="779">
        <v>0</v>
      </c>
      <c r="O12" s="779">
        <v>0</v>
      </c>
      <c r="P12" s="779">
        <v>0</v>
      </c>
      <c r="Q12" s="779"/>
      <c r="R12" s="779">
        <v>0</v>
      </c>
      <c r="S12" s="779">
        <v>0</v>
      </c>
      <c r="T12" s="779">
        <v>0</v>
      </c>
      <c r="U12" s="779">
        <v>0</v>
      </c>
      <c r="V12" s="779">
        <v>0</v>
      </c>
    </row>
    <row r="13" spans="1:22">
      <c r="A13" s="563">
        <v>7</v>
      </c>
      <c r="B13" s="562" t="s">
        <v>696</v>
      </c>
      <c r="C13" s="779">
        <v>6985365.7539600041</v>
      </c>
      <c r="D13" s="779">
        <v>6877888.8586700037</v>
      </c>
      <c r="E13" s="779">
        <v>0</v>
      </c>
      <c r="F13" s="779">
        <v>107476.89528999999</v>
      </c>
      <c r="G13" s="779"/>
      <c r="H13" s="779">
        <v>7112200.7839599987</v>
      </c>
      <c r="I13" s="779">
        <v>6964793.6386699984</v>
      </c>
      <c r="J13" s="779">
        <v>0</v>
      </c>
      <c r="K13" s="779">
        <v>147407.14528999999</v>
      </c>
      <c r="L13" s="779"/>
      <c r="M13" s="779">
        <v>32258.838424859394</v>
      </c>
      <c r="N13" s="779">
        <v>12168.450856514099</v>
      </c>
      <c r="O13" s="779">
        <v>0</v>
      </c>
      <c r="P13" s="779">
        <v>20090.387568345297</v>
      </c>
      <c r="Q13" s="779"/>
      <c r="R13" s="779">
        <v>115</v>
      </c>
      <c r="S13" s="779">
        <v>0</v>
      </c>
      <c r="T13" s="779">
        <v>0</v>
      </c>
      <c r="U13" s="779">
        <v>7.1502623998872111E-2</v>
      </c>
      <c r="V13" s="779">
        <v>113.58340959696912</v>
      </c>
    </row>
    <row r="14" spans="1:22">
      <c r="A14" s="557">
        <v>7.1</v>
      </c>
      <c r="B14" s="556" t="s">
        <v>697</v>
      </c>
      <c r="C14" s="779">
        <v>6833365.3061380042</v>
      </c>
      <c r="D14" s="779">
        <v>6725888.4108480038</v>
      </c>
      <c r="E14" s="779">
        <v>0</v>
      </c>
      <c r="F14" s="779">
        <v>107476.89528999999</v>
      </c>
      <c r="G14" s="779"/>
      <c r="H14" s="779">
        <v>6958503.0445379987</v>
      </c>
      <c r="I14" s="779">
        <v>6811095.8992479984</v>
      </c>
      <c r="J14" s="779">
        <v>0</v>
      </c>
      <c r="K14" s="779">
        <v>147407.14528999999</v>
      </c>
      <c r="L14" s="779"/>
      <c r="M14" s="779">
        <v>32017.177829047396</v>
      </c>
      <c r="N14" s="779">
        <v>11926.790260702099</v>
      </c>
      <c r="O14" s="779">
        <v>0</v>
      </c>
      <c r="P14" s="779">
        <v>20090.387568345297</v>
      </c>
      <c r="Q14" s="779"/>
      <c r="R14" s="779">
        <v>113</v>
      </c>
      <c r="S14" s="779">
        <v>0</v>
      </c>
      <c r="T14" s="779">
        <v>0</v>
      </c>
      <c r="U14" s="779">
        <v>7.1193036213506214E-2</v>
      </c>
      <c r="V14" s="779">
        <v>115.11490759795275</v>
      </c>
    </row>
    <row r="15" spans="1:22" ht="25.5">
      <c r="A15" s="557">
        <v>7.2</v>
      </c>
      <c r="B15" s="556" t="s">
        <v>698</v>
      </c>
      <c r="C15" s="779">
        <v>152000.44782200002</v>
      </c>
      <c r="D15" s="779">
        <v>152000.44782200002</v>
      </c>
      <c r="E15" s="779">
        <v>0</v>
      </c>
      <c r="F15" s="779">
        <v>0</v>
      </c>
      <c r="G15" s="779"/>
      <c r="H15" s="779">
        <v>153697.73942200001</v>
      </c>
      <c r="I15" s="779">
        <v>153697.73942200001</v>
      </c>
      <c r="J15" s="779">
        <v>0</v>
      </c>
      <c r="K15" s="779">
        <v>0</v>
      </c>
      <c r="L15" s="779"/>
      <c r="M15" s="779">
        <v>241.660595812</v>
      </c>
      <c r="N15" s="779">
        <v>241.660595812</v>
      </c>
      <c r="O15" s="779">
        <v>0</v>
      </c>
      <c r="P15" s="779">
        <v>0</v>
      </c>
      <c r="Q15" s="779"/>
      <c r="R15" s="779">
        <v>2</v>
      </c>
      <c r="S15" s="779" t="s">
        <v>985</v>
      </c>
      <c r="T15" s="779" t="s">
        <v>985</v>
      </c>
      <c r="U15" s="779">
        <v>8.5420520044814943E-2</v>
      </c>
      <c r="V15" s="779">
        <v>44.733051217784222</v>
      </c>
    </row>
    <row r="16" spans="1:22">
      <c r="A16" s="557">
        <v>7.3</v>
      </c>
      <c r="B16" s="556" t="s">
        <v>699</v>
      </c>
      <c r="C16" s="779"/>
      <c r="D16" s="779"/>
      <c r="E16" s="779"/>
      <c r="F16" s="779"/>
      <c r="G16" s="779"/>
      <c r="H16" s="779"/>
      <c r="I16" s="779"/>
      <c r="J16" s="779"/>
      <c r="K16" s="779"/>
      <c r="L16" s="779"/>
      <c r="M16" s="779"/>
      <c r="N16" s="779"/>
      <c r="O16" s="779"/>
      <c r="P16" s="779"/>
      <c r="Q16" s="779"/>
      <c r="R16" s="779"/>
      <c r="S16" s="779" t="s">
        <v>985</v>
      </c>
      <c r="T16" s="779" t="s">
        <v>985</v>
      </c>
      <c r="U16" s="779"/>
      <c r="V16" s="779"/>
    </row>
    <row r="17" spans="1:22">
      <c r="A17" s="563">
        <v>8</v>
      </c>
      <c r="B17" s="562" t="s">
        <v>700</v>
      </c>
      <c r="C17" s="779">
        <v>0</v>
      </c>
      <c r="D17" s="779">
        <v>0</v>
      </c>
      <c r="E17" s="779">
        <v>0</v>
      </c>
      <c r="F17" s="779">
        <v>0</v>
      </c>
      <c r="G17" s="779"/>
      <c r="H17" s="779">
        <v>0</v>
      </c>
      <c r="I17" s="779">
        <v>0</v>
      </c>
      <c r="J17" s="779">
        <v>0</v>
      </c>
      <c r="K17" s="779">
        <v>0</v>
      </c>
      <c r="L17" s="779"/>
      <c r="M17" s="779">
        <v>0</v>
      </c>
      <c r="N17" s="779">
        <v>0</v>
      </c>
      <c r="O17" s="779">
        <v>0</v>
      </c>
      <c r="P17" s="779">
        <v>0</v>
      </c>
      <c r="Q17" s="779"/>
      <c r="R17" s="779">
        <v>0</v>
      </c>
      <c r="S17" s="779">
        <v>0</v>
      </c>
      <c r="T17" s="779">
        <v>0</v>
      </c>
      <c r="U17" s="779">
        <v>0</v>
      </c>
      <c r="V17" s="779">
        <v>0</v>
      </c>
    </row>
    <row r="18" spans="1:22">
      <c r="A18" s="561">
        <v>9</v>
      </c>
      <c r="B18" s="560" t="s">
        <v>701</v>
      </c>
      <c r="C18" s="780">
        <v>0</v>
      </c>
      <c r="D18" s="780">
        <v>0</v>
      </c>
      <c r="E18" s="780">
        <v>0</v>
      </c>
      <c r="F18" s="780">
        <v>0</v>
      </c>
      <c r="G18" s="780"/>
      <c r="H18" s="780">
        <v>0</v>
      </c>
      <c r="I18" s="780">
        <v>0</v>
      </c>
      <c r="J18" s="780">
        <v>0</v>
      </c>
      <c r="K18" s="780">
        <v>0</v>
      </c>
      <c r="L18" s="780"/>
      <c r="M18" s="780">
        <v>0</v>
      </c>
      <c r="N18" s="780">
        <v>0</v>
      </c>
      <c r="O18" s="780">
        <v>0</v>
      </c>
      <c r="P18" s="780">
        <v>0</v>
      </c>
      <c r="Q18" s="780"/>
      <c r="R18" s="780">
        <v>0</v>
      </c>
      <c r="S18" s="780">
        <v>0</v>
      </c>
      <c r="T18" s="780">
        <v>0</v>
      </c>
      <c r="U18" s="780">
        <v>0</v>
      </c>
      <c r="V18" s="780">
        <v>0</v>
      </c>
    </row>
    <row r="19" spans="1:22">
      <c r="A19" s="559">
        <v>10</v>
      </c>
      <c r="B19" s="558" t="s">
        <v>717</v>
      </c>
      <c r="C19" s="779">
        <v>7393995.9601300042</v>
      </c>
      <c r="D19" s="779">
        <v>7092019.5055600042</v>
      </c>
      <c r="E19" s="779">
        <v>4928.6899999999996</v>
      </c>
      <c r="F19" s="779">
        <v>297047.76456999994</v>
      </c>
      <c r="G19" s="779">
        <v>0</v>
      </c>
      <c r="H19" s="779">
        <v>7600611.756529999</v>
      </c>
      <c r="I19" s="779">
        <v>7188212.1619599983</v>
      </c>
      <c r="J19" s="779">
        <v>5259.08</v>
      </c>
      <c r="K19" s="779">
        <v>407140.51457</v>
      </c>
      <c r="L19" s="779">
        <v>0</v>
      </c>
      <c r="M19" s="779">
        <v>285871.10710849316</v>
      </c>
      <c r="N19" s="779">
        <v>23964.099282426498</v>
      </c>
      <c r="O19" s="779">
        <v>4311.1842169449001</v>
      </c>
      <c r="P19" s="779">
        <v>257595.82360912175</v>
      </c>
      <c r="Q19" s="779">
        <v>0</v>
      </c>
      <c r="R19" s="779">
        <v>176</v>
      </c>
      <c r="S19" s="779">
        <v>0.15</v>
      </c>
      <c r="T19" s="779">
        <v>0.16070399999999999</v>
      </c>
      <c r="U19" s="779">
        <v>7.3689075330576753E-2</v>
      </c>
      <c r="V19" s="779">
        <v>108.91383677314948</v>
      </c>
    </row>
    <row r="20" spans="1:22" ht="25.5">
      <c r="A20" s="557">
        <v>10.1</v>
      </c>
      <c r="B20" s="556" t="s">
        <v>720</v>
      </c>
      <c r="C20" s="551"/>
      <c r="D20" s="551"/>
      <c r="E20" s="551"/>
      <c r="F20" s="551"/>
      <c r="G20" s="551"/>
      <c r="H20" s="551"/>
      <c r="I20" s="551"/>
      <c r="J20" s="551"/>
      <c r="K20" s="551"/>
      <c r="L20" s="551"/>
      <c r="M20" s="551"/>
      <c r="N20" s="551"/>
      <c r="O20" s="551"/>
      <c r="P20" s="551"/>
      <c r="Q20" s="551"/>
      <c r="R20" s="551"/>
      <c r="S20" s="551"/>
      <c r="T20" s="551"/>
      <c r="U20" s="551"/>
      <c r="V20" s="551"/>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topLeftCell="A6" zoomScale="80" zoomScaleNormal="80" workbookViewId="0">
      <selection activeCell="C7" sqref="C7:H69"/>
    </sheetView>
  </sheetViews>
  <sheetFormatPr defaultRowHeight="15"/>
  <cols>
    <col min="1" max="1" width="8.7109375" style="455"/>
    <col min="2" max="2" width="69.28515625" style="430"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06" t="str">
        <f>Info!C2</f>
        <v>JSC "VTB Bank (Georgia)"</v>
      </c>
      <c r="C1" s="16"/>
      <c r="D1" s="227"/>
      <c r="E1" s="227"/>
      <c r="F1" s="227"/>
      <c r="G1" s="227"/>
    </row>
    <row r="2" spans="1:8" ht="15.75">
      <c r="A2" s="17" t="s">
        <v>109</v>
      </c>
      <c r="B2" s="337">
        <f>Info!D2</f>
        <v>45657</v>
      </c>
      <c r="C2" s="29"/>
      <c r="D2" s="18"/>
      <c r="E2" s="18"/>
      <c r="F2" s="18"/>
      <c r="G2" s="18"/>
      <c r="H2" s="1"/>
    </row>
    <row r="3" spans="1:8" ht="15.75">
      <c r="A3" s="17"/>
      <c r="B3" s="16"/>
      <c r="C3" s="29"/>
      <c r="D3" s="18"/>
      <c r="E3" s="18"/>
      <c r="F3" s="18"/>
      <c r="G3" s="18"/>
      <c r="H3" s="1"/>
    </row>
    <row r="4" spans="1:8" ht="21" customHeight="1">
      <c r="A4" s="809" t="s">
        <v>25</v>
      </c>
      <c r="B4" s="810" t="s">
        <v>729</v>
      </c>
      <c r="C4" s="812" t="s">
        <v>114</v>
      </c>
      <c r="D4" s="812"/>
      <c r="E4" s="812"/>
      <c r="F4" s="812" t="s">
        <v>115</v>
      </c>
      <c r="G4" s="812"/>
      <c r="H4" s="813"/>
    </row>
    <row r="5" spans="1:8" ht="21" customHeight="1">
      <c r="A5" s="809"/>
      <c r="B5" s="811"/>
      <c r="C5" s="401" t="s">
        <v>26</v>
      </c>
      <c r="D5" s="401" t="s">
        <v>88</v>
      </c>
      <c r="E5" s="401" t="s">
        <v>66</v>
      </c>
      <c r="F5" s="401" t="s">
        <v>26</v>
      </c>
      <c r="G5" s="401" t="s">
        <v>88</v>
      </c>
      <c r="H5" s="401" t="s">
        <v>66</v>
      </c>
    </row>
    <row r="6" spans="1:8" ht="26.85" customHeight="1">
      <c r="A6" s="809"/>
      <c r="B6" s="402" t="s">
        <v>95</v>
      </c>
      <c r="C6" s="814"/>
      <c r="D6" s="815"/>
      <c r="E6" s="815"/>
      <c r="F6" s="815"/>
      <c r="G6" s="815"/>
      <c r="H6" s="816"/>
    </row>
    <row r="7" spans="1:8" ht="23.1" customHeight="1">
      <c r="A7" s="446">
        <v>1</v>
      </c>
      <c r="B7" s="403" t="s">
        <v>843</v>
      </c>
      <c r="C7" s="696">
        <v>91907058.549999997</v>
      </c>
      <c r="D7" s="696">
        <v>85209602.894200832</v>
      </c>
      <c r="E7" s="675">
        <f>C7+D7</f>
        <v>177116661.44420081</v>
      </c>
      <c r="F7" s="696">
        <v>84054589.099999994</v>
      </c>
      <c r="G7" s="696">
        <v>69197300.187232047</v>
      </c>
      <c r="H7" s="675">
        <f>F7+G7</f>
        <v>153251889.28723204</v>
      </c>
    </row>
    <row r="8" spans="1:8">
      <c r="A8" s="446">
        <v>1.1000000000000001</v>
      </c>
      <c r="B8" s="404" t="s">
        <v>96</v>
      </c>
      <c r="C8" s="696">
        <v>91906707.189999998</v>
      </c>
      <c r="D8" s="696">
        <v>78381775.785799995</v>
      </c>
      <c r="E8" s="675">
        <f t="shared" ref="E8:E36" si="0">C8+D8</f>
        <v>170288482.97579998</v>
      </c>
      <c r="F8" s="696">
        <v>84054237.739999995</v>
      </c>
      <c r="G8" s="696">
        <v>62500215.717500001</v>
      </c>
      <c r="H8" s="675">
        <f t="shared" ref="H8:H36" si="1">F8+G8</f>
        <v>146554453.45749998</v>
      </c>
    </row>
    <row r="9" spans="1:8">
      <c r="A9" s="446">
        <v>1.2</v>
      </c>
      <c r="B9" s="404" t="s">
        <v>97</v>
      </c>
      <c r="C9" s="696">
        <v>351.36</v>
      </c>
      <c r="D9" s="696">
        <v>0</v>
      </c>
      <c r="E9" s="675">
        <f t="shared" si="0"/>
        <v>351.36</v>
      </c>
      <c r="F9" s="696">
        <v>351.36</v>
      </c>
      <c r="G9" s="696">
        <v>0</v>
      </c>
      <c r="H9" s="675">
        <f t="shared" si="1"/>
        <v>351.36</v>
      </c>
    </row>
    <row r="10" spans="1:8">
      <c r="A10" s="446">
        <v>1.3</v>
      </c>
      <c r="B10" s="404" t="s">
        <v>98</v>
      </c>
      <c r="C10" s="696">
        <v>0</v>
      </c>
      <c r="D10" s="696">
        <v>6827827.1084008301</v>
      </c>
      <c r="E10" s="675">
        <f t="shared" si="0"/>
        <v>6827827.1084008301</v>
      </c>
      <c r="F10" s="696">
        <v>0</v>
      </c>
      <c r="G10" s="696">
        <v>6697084.4697320536</v>
      </c>
      <c r="H10" s="675">
        <f t="shared" si="1"/>
        <v>6697084.4697320536</v>
      </c>
    </row>
    <row r="11" spans="1:8">
      <c r="A11" s="446">
        <v>2</v>
      </c>
      <c r="B11" s="405" t="s">
        <v>730</v>
      </c>
      <c r="C11" s="696"/>
      <c r="D11" s="696"/>
      <c r="E11" s="675">
        <f t="shared" si="0"/>
        <v>0</v>
      </c>
      <c r="F11" s="696"/>
      <c r="G11" s="696"/>
      <c r="H11" s="675">
        <f t="shared" si="1"/>
        <v>0</v>
      </c>
    </row>
    <row r="12" spans="1:8">
      <c r="A12" s="446">
        <v>2.1</v>
      </c>
      <c r="B12" s="406" t="s">
        <v>731</v>
      </c>
      <c r="C12" s="696"/>
      <c r="D12" s="696"/>
      <c r="E12" s="675">
        <f t="shared" si="0"/>
        <v>0</v>
      </c>
      <c r="F12" s="696"/>
      <c r="G12" s="696"/>
      <c r="H12" s="675">
        <f t="shared" si="1"/>
        <v>0</v>
      </c>
    </row>
    <row r="13" spans="1:8" ht="26.85" customHeight="1">
      <c r="A13" s="446">
        <v>3</v>
      </c>
      <c r="B13" s="407" t="s">
        <v>732</v>
      </c>
      <c r="C13" s="696"/>
      <c r="D13" s="696"/>
      <c r="E13" s="675">
        <f t="shared" si="0"/>
        <v>0</v>
      </c>
      <c r="F13" s="696"/>
      <c r="G13" s="696"/>
      <c r="H13" s="675">
        <f t="shared" si="1"/>
        <v>0</v>
      </c>
    </row>
    <row r="14" spans="1:8" ht="26.85" customHeight="1">
      <c r="A14" s="446">
        <v>4</v>
      </c>
      <c r="B14" s="408" t="s">
        <v>733</v>
      </c>
      <c r="C14" s="696"/>
      <c r="D14" s="696"/>
      <c r="E14" s="675">
        <f t="shared" si="0"/>
        <v>0</v>
      </c>
      <c r="F14" s="696"/>
      <c r="G14" s="696"/>
      <c r="H14" s="675">
        <f t="shared" si="1"/>
        <v>0</v>
      </c>
    </row>
    <row r="15" spans="1:8" ht="24.6" customHeight="1">
      <c r="A15" s="446">
        <v>5</v>
      </c>
      <c r="B15" s="408" t="s">
        <v>734</v>
      </c>
      <c r="C15" s="674">
        <v>54000</v>
      </c>
      <c r="D15" s="674">
        <v>0</v>
      </c>
      <c r="E15" s="673">
        <f t="shared" si="0"/>
        <v>54000</v>
      </c>
      <c r="F15" s="674">
        <v>54000</v>
      </c>
      <c r="G15" s="674">
        <v>0</v>
      </c>
      <c r="H15" s="673">
        <f t="shared" si="1"/>
        <v>54000</v>
      </c>
    </row>
    <row r="16" spans="1:8">
      <c r="A16" s="446">
        <v>5.0999999999999996</v>
      </c>
      <c r="B16" s="409" t="s">
        <v>735</v>
      </c>
      <c r="C16" s="696">
        <v>54000</v>
      </c>
      <c r="D16" s="696">
        <v>0</v>
      </c>
      <c r="E16" s="675">
        <f t="shared" si="0"/>
        <v>54000</v>
      </c>
      <c r="F16" s="696">
        <v>54000</v>
      </c>
      <c r="G16" s="696">
        <v>0</v>
      </c>
      <c r="H16" s="675">
        <f t="shared" si="1"/>
        <v>54000</v>
      </c>
    </row>
    <row r="17" spans="1:8">
      <c r="A17" s="446">
        <v>5.2</v>
      </c>
      <c r="B17" s="409" t="s">
        <v>569</v>
      </c>
      <c r="C17" s="696"/>
      <c r="D17" s="696"/>
      <c r="E17" s="675">
        <f t="shared" si="0"/>
        <v>0</v>
      </c>
      <c r="F17" s="696"/>
      <c r="G17" s="696"/>
      <c r="H17" s="675">
        <f t="shared" si="1"/>
        <v>0</v>
      </c>
    </row>
    <row r="18" spans="1:8">
      <c r="A18" s="446">
        <v>5.3</v>
      </c>
      <c r="B18" s="409" t="s">
        <v>736</v>
      </c>
      <c r="C18" s="696"/>
      <c r="D18" s="696"/>
      <c r="E18" s="675">
        <f t="shared" si="0"/>
        <v>0</v>
      </c>
      <c r="F18" s="696"/>
      <c r="G18" s="696"/>
      <c r="H18" s="675">
        <f t="shared" si="1"/>
        <v>0</v>
      </c>
    </row>
    <row r="19" spans="1:8">
      <c r="A19" s="446">
        <v>6</v>
      </c>
      <c r="B19" s="407" t="s">
        <v>737</v>
      </c>
      <c r="C19" s="696">
        <v>62169703.674036421</v>
      </c>
      <c r="D19" s="696">
        <v>109540492.71357012</v>
      </c>
      <c r="E19" s="675">
        <f t="shared" si="0"/>
        <v>171710196.38760653</v>
      </c>
      <c r="F19" s="696">
        <v>79591674.825562656</v>
      </c>
      <c r="G19" s="696">
        <v>116934582.79563439</v>
      </c>
      <c r="H19" s="675">
        <f t="shared" si="1"/>
        <v>196526257.62119704</v>
      </c>
    </row>
    <row r="20" spans="1:8">
      <c r="A20" s="446">
        <v>6.1</v>
      </c>
      <c r="B20" s="409" t="s">
        <v>569</v>
      </c>
      <c r="C20" s="696"/>
      <c r="D20" s="696"/>
      <c r="E20" s="675">
        <f t="shared" si="0"/>
        <v>0</v>
      </c>
      <c r="F20" s="696"/>
      <c r="G20" s="696"/>
      <c r="H20" s="675">
        <f t="shared" si="1"/>
        <v>0</v>
      </c>
    </row>
    <row r="21" spans="1:8">
      <c r="A21" s="446">
        <v>6.2</v>
      </c>
      <c r="B21" s="409" t="s">
        <v>736</v>
      </c>
      <c r="C21" s="696">
        <v>62169703.674036421</v>
      </c>
      <c r="D21" s="696">
        <v>109540492.71357012</v>
      </c>
      <c r="E21" s="675">
        <f t="shared" si="0"/>
        <v>171710196.38760653</v>
      </c>
      <c r="F21" s="696">
        <v>79591674.825562656</v>
      </c>
      <c r="G21" s="696">
        <v>116934582.79563439</v>
      </c>
      <c r="H21" s="675">
        <f t="shared" si="1"/>
        <v>196526257.62119704</v>
      </c>
    </row>
    <row r="22" spans="1:8">
      <c r="A22" s="446">
        <v>7</v>
      </c>
      <c r="B22" s="410" t="s">
        <v>738</v>
      </c>
      <c r="C22" s="696"/>
      <c r="D22" s="696"/>
      <c r="E22" s="675">
        <f t="shared" si="0"/>
        <v>0</v>
      </c>
      <c r="F22" s="696"/>
      <c r="G22" s="696"/>
      <c r="H22" s="675">
        <f t="shared" si="1"/>
        <v>0</v>
      </c>
    </row>
    <row r="23" spans="1:8" ht="21">
      <c r="A23" s="446">
        <v>8</v>
      </c>
      <c r="B23" s="411" t="s">
        <v>739</v>
      </c>
      <c r="C23" s="696"/>
      <c r="D23" s="696"/>
      <c r="E23" s="675">
        <f t="shared" si="0"/>
        <v>0</v>
      </c>
      <c r="F23" s="696"/>
      <c r="G23" s="696"/>
      <c r="H23" s="675">
        <f t="shared" si="1"/>
        <v>0</v>
      </c>
    </row>
    <row r="24" spans="1:8">
      <c r="A24" s="446">
        <v>9</v>
      </c>
      <c r="B24" s="408" t="s">
        <v>740</v>
      </c>
      <c r="C24" s="696">
        <v>62111055.180000022</v>
      </c>
      <c r="D24" s="696">
        <v>0</v>
      </c>
      <c r="E24" s="675">
        <f t="shared" si="0"/>
        <v>62111055.180000022</v>
      </c>
      <c r="F24" s="696">
        <v>63887457.020000011</v>
      </c>
      <c r="G24" s="696">
        <v>0</v>
      </c>
      <c r="H24" s="675">
        <f t="shared" si="1"/>
        <v>63887457.020000011</v>
      </c>
    </row>
    <row r="25" spans="1:8">
      <c r="A25" s="446">
        <v>9.1</v>
      </c>
      <c r="B25" s="412" t="s">
        <v>741</v>
      </c>
      <c r="C25" s="696">
        <v>34039514.18</v>
      </c>
      <c r="D25" s="696"/>
      <c r="E25" s="675">
        <f t="shared" si="0"/>
        <v>34039514.18</v>
      </c>
      <c r="F25" s="696">
        <v>34609140.889999993</v>
      </c>
      <c r="G25" s="696"/>
      <c r="H25" s="675">
        <f t="shared" si="1"/>
        <v>34609140.889999993</v>
      </c>
    </row>
    <row r="26" spans="1:8">
      <c r="A26" s="446">
        <v>9.1999999999999993</v>
      </c>
      <c r="B26" s="412" t="s">
        <v>742</v>
      </c>
      <c r="C26" s="696">
        <v>28071541.000000019</v>
      </c>
      <c r="D26" s="696"/>
      <c r="E26" s="675">
        <f t="shared" si="0"/>
        <v>28071541.000000019</v>
      </c>
      <c r="F26" s="696">
        <v>29278316.130000018</v>
      </c>
      <c r="G26" s="696"/>
      <c r="H26" s="675">
        <f t="shared" si="1"/>
        <v>29278316.130000018</v>
      </c>
    </row>
    <row r="27" spans="1:8">
      <c r="A27" s="446">
        <v>10</v>
      </c>
      <c r="B27" s="408" t="s">
        <v>36</v>
      </c>
      <c r="C27" s="696">
        <v>1014665.6400000001</v>
      </c>
      <c r="D27" s="696">
        <v>0</v>
      </c>
      <c r="E27" s="675">
        <f t="shared" si="0"/>
        <v>1014665.6400000001</v>
      </c>
      <c r="F27" s="696">
        <v>1227246.99</v>
      </c>
      <c r="G27" s="696">
        <v>0</v>
      </c>
      <c r="H27" s="675">
        <f t="shared" si="1"/>
        <v>1227246.99</v>
      </c>
    </row>
    <row r="28" spans="1:8">
      <c r="A28" s="446">
        <v>10.1</v>
      </c>
      <c r="B28" s="412" t="s">
        <v>743</v>
      </c>
      <c r="C28" s="696"/>
      <c r="D28" s="696"/>
      <c r="E28" s="675">
        <f t="shared" si="0"/>
        <v>0</v>
      </c>
      <c r="F28" s="696"/>
      <c r="G28" s="696"/>
      <c r="H28" s="675">
        <f t="shared" si="1"/>
        <v>0</v>
      </c>
    </row>
    <row r="29" spans="1:8">
      <c r="A29" s="446">
        <v>10.199999999999999</v>
      </c>
      <c r="B29" s="412" t="s">
        <v>744</v>
      </c>
      <c r="C29" s="696">
        <v>1014665.6400000001</v>
      </c>
      <c r="D29" s="696"/>
      <c r="E29" s="675">
        <f t="shared" si="0"/>
        <v>1014665.6400000001</v>
      </c>
      <c r="F29" s="696">
        <v>1227246.99</v>
      </c>
      <c r="G29" s="696"/>
      <c r="H29" s="675">
        <f t="shared" si="1"/>
        <v>1227246.99</v>
      </c>
    </row>
    <row r="30" spans="1:8">
      <c r="A30" s="446">
        <v>11</v>
      </c>
      <c r="B30" s="408" t="s">
        <v>745</v>
      </c>
      <c r="C30" s="696">
        <v>1069675.9100000001</v>
      </c>
      <c r="D30" s="696">
        <v>0</v>
      </c>
      <c r="E30" s="675">
        <f t="shared" si="0"/>
        <v>1069675.9100000001</v>
      </c>
      <c r="F30" s="696">
        <v>500121.3</v>
      </c>
      <c r="G30" s="696">
        <v>0</v>
      </c>
      <c r="H30" s="675">
        <f t="shared" si="1"/>
        <v>500121.3</v>
      </c>
    </row>
    <row r="31" spans="1:8">
      <c r="A31" s="446">
        <v>11.1</v>
      </c>
      <c r="B31" s="412" t="s">
        <v>746</v>
      </c>
      <c r="C31" s="696">
        <v>752686.91</v>
      </c>
      <c r="D31" s="696"/>
      <c r="E31" s="675">
        <f t="shared" si="0"/>
        <v>752686.91</v>
      </c>
      <c r="F31" s="696">
        <v>500121.3</v>
      </c>
      <c r="G31" s="696"/>
      <c r="H31" s="675">
        <f t="shared" si="1"/>
        <v>500121.3</v>
      </c>
    </row>
    <row r="32" spans="1:8">
      <c r="A32" s="446">
        <v>11.2</v>
      </c>
      <c r="B32" s="412" t="s">
        <v>747</v>
      </c>
      <c r="C32" s="696">
        <v>316989</v>
      </c>
      <c r="D32" s="696"/>
      <c r="E32" s="675">
        <f t="shared" si="0"/>
        <v>316989</v>
      </c>
      <c r="F32" s="696">
        <v>0</v>
      </c>
      <c r="G32" s="696"/>
      <c r="H32" s="675">
        <f t="shared" si="1"/>
        <v>0</v>
      </c>
    </row>
    <row r="33" spans="1:8">
      <c r="A33" s="446">
        <v>13</v>
      </c>
      <c r="B33" s="408" t="s">
        <v>99</v>
      </c>
      <c r="C33" s="696">
        <v>34019328.618191071</v>
      </c>
      <c r="D33" s="696">
        <v>3458701.7325000097</v>
      </c>
      <c r="E33" s="675">
        <f t="shared" si="0"/>
        <v>37478030.35069108</v>
      </c>
      <c r="F33" s="696">
        <v>36476870.159999996</v>
      </c>
      <c r="G33" s="696">
        <v>3312409.4781372934</v>
      </c>
      <c r="H33" s="675">
        <f t="shared" si="1"/>
        <v>39789279.638137288</v>
      </c>
    </row>
    <row r="34" spans="1:8">
      <c r="A34" s="446">
        <v>13.1</v>
      </c>
      <c r="B34" s="413" t="s">
        <v>748</v>
      </c>
      <c r="C34" s="696">
        <v>21923263.27</v>
      </c>
      <c r="D34" s="696"/>
      <c r="E34" s="675">
        <f t="shared" si="0"/>
        <v>21923263.27</v>
      </c>
      <c r="F34" s="696">
        <v>22290850.919999994</v>
      </c>
      <c r="G34" s="696"/>
      <c r="H34" s="675">
        <f t="shared" si="1"/>
        <v>22290850.919999994</v>
      </c>
    </row>
    <row r="35" spans="1:8">
      <c r="A35" s="446">
        <v>13.2</v>
      </c>
      <c r="B35" s="413" t="s">
        <v>749</v>
      </c>
      <c r="C35" s="696"/>
      <c r="D35" s="696"/>
      <c r="E35" s="675">
        <f t="shared" si="0"/>
        <v>0</v>
      </c>
      <c r="F35" s="696"/>
      <c r="G35" s="696"/>
      <c r="H35" s="675">
        <f t="shared" si="1"/>
        <v>0</v>
      </c>
    </row>
    <row r="36" spans="1:8">
      <c r="A36" s="446">
        <v>14</v>
      </c>
      <c r="B36" s="414" t="s">
        <v>750</v>
      </c>
      <c r="C36" s="696">
        <v>252345487.57222751</v>
      </c>
      <c r="D36" s="696">
        <v>198208797.34027097</v>
      </c>
      <c r="E36" s="675">
        <f t="shared" si="0"/>
        <v>450554284.91249847</v>
      </c>
      <c r="F36" s="696">
        <v>265791959.39556268</v>
      </c>
      <c r="G36" s="696">
        <v>189444292.46100372</v>
      </c>
      <c r="H36" s="675">
        <f t="shared" si="1"/>
        <v>455236251.85656643</v>
      </c>
    </row>
    <row r="37" spans="1:8" ht="22.5" customHeight="1">
      <c r="A37" s="446"/>
      <c r="B37" s="415" t="s">
        <v>104</v>
      </c>
      <c r="C37" s="806"/>
      <c r="D37" s="807"/>
      <c r="E37" s="807"/>
      <c r="F37" s="807"/>
      <c r="G37" s="807"/>
      <c r="H37" s="808"/>
    </row>
    <row r="38" spans="1:8">
      <c r="A38" s="446">
        <v>15</v>
      </c>
      <c r="B38" s="416" t="s">
        <v>751</v>
      </c>
      <c r="C38" s="696"/>
      <c r="D38" s="696"/>
      <c r="E38" s="675">
        <f>C38+D38</f>
        <v>0</v>
      </c>
      <c r="F38" s="696"/>
      <c r="G38" s="696"/>
      <c r="H38" s="675">
        <f>F38+G38</f>
        <v>0</v>
      </c>
    </row>
    <row r="39" spans="1:8">
      <c r="A39" s="446">
        <v>15.1</v>
      </c>
      <c r="B39" s="417" t="s">
        <v>731</v>
      </c>
      <c r="C39" s="696"/>
      <c r="D39" s="696"/>
      <c r="E39" s="675">
        <f t="shared" ref="E39:E53" si="2">C39+D39</f>
        <v>0</v>
      </c>
      <c r="F39" s="696"/>
      <c r="G39" s="696"/>
      <c r="H39" s="675">
        <f t="shared" ref="H39:H53" si="3">F39+G39</f>
        <v>0</v>
      </c>
    </row>
    <row r="40" spans="1:8" ht="24" customHeight="1">
      <c r="A40" s="446">
        <v>16</v>
      </c>
      <c r="B40" s="410" t="s">
        <v>752</v>
      </c>
      <c r="C40" s="696"/>
      <c r="D40" s="696"/>
      <c r="E40" s="675">
        <f t="shared" si="2"/>
        <v>0</v>
      </c>
      <c r="F40" s="696"/>
      <c r="G40" s="696"/>
      <c r="H40" s="675">
        <f t="shared" si="3"/>
        <v>0</v>
      </c>
    </row>
    <row r="41" spans="1:8" ht="21">
      <c r="A41" s="446">
        <v>17</v>
      </c>
      <c r="B41" s="410" t="s">
        <v>753</v>
      </c>
      <c r="C41" s="696">
        <v>11755249.889999999</v>
      </c>
      <c r="D41" s="696">
        <v>1500770.7607</v>
      </c>
      <c r="E41" s="675">
        <f t="shared" si="2"/>
        <v>13256020.650699999</v>
      </c>
      <c r="F41" s="696">
        <v>15904905.99</v>
      </c>
      <c r="G41" s="696">
        <v>1356355.0702</v>
      </c>
      <c r="H41" s="675">
        <f t="shared" si="3"/>
        <v>17261261.060199998</v>
      </c>
    </row>
    <row r="42" spans="1:8">
      <c r="A42" s="446">
        <v>17.100000000000001</v>
      </c>
      <c r="B42" s="418" t="s">
        <v>754</v>
      </c>
      <c r="C42" s="696">
        <v>11755249.889999999</v>
      </c>
      <c r="D42" s="696">
        <v>1500770.7607</v>
      </c>
      <c r="E42" s="675">
        <f t="shared" si="2"/>
        <v>13256020.650699999</v>
      </c>
      <c r="F42" s="696">
        <v>15904905.99</v>
      </c>
      <c r="G42" s="696">
        <v>1356355.0702</v>
      </c>
      <c r="H42" s="675">
        <f t="shared" si="3"/>
        <v>17261261.060199998</v>
      </c>
    </row>
    <row r="43" spans="1:8">
      <c r="A43" s="446">
        <v>17.2</v>
      </c>
      <c r="B43" s="419" t="s">
        <v>100</v>
      </c>
      <c r="C43" s="696"/>
      <c r="D43" s="696"/>
      <c r="E43" s="675">
        <f t="shared" si="2"/>
        <v>0</v>
      </c>
      <c r="F43" s="696"/>
      <c r="G43" s="696"/>
      <c r="H43" s="675">
        <f t="shared" si="3"/>
        <v>0</v>
      </c>
    </row>
    <row r="44" spans="1:8">
      <c r="A44" s="446">
        <v>17.3</v>
      </c>
      <c r="B44" s="418" t="s">
        <v>755</v>
      </c>
      <c r="C44" s="696"/>
      <c r="D44" s="696"/>
      <c r="E44" s="675">
        <f t="shared" si="2"/>
        <v>0</v>
      </c>
      <c r="F44" s="696"/>
      <c r="G44" s="696"/>
      <c r="H44" s="675">
        <f t="shared" si="3"/>
        <v>0</v>
      </c>
    </row>
    <row r="45" spans="1:8">
      <c r="A45" s="446">
        <v>17.399999999999999</v>
      </c>
      <c r="B45" s="418" t="s">
        <v>756</v>
      </c>
      <c r="C45" s="696"/>
      <c r="D45" s="696"/>
      <c r="E45" s="675">
        <f t="shared" si="2"/>
        <v>0</v>
      </c>
      <c r="F45" s="696"/>
      <c r="G45" s="696"/>
      <c r="H45" s="675">
        <f t="shared" si="3"/>
        <v>0</v>
      </c>
    </row>
    <row r="46" spans="1:8">
      <c r="A46" s="446">
        <v>18</v>
      </c>
      <c r="B46" s="420" t="s">
        <v>757</v>
      </c>
      <c r="C46" s="696">
        <v>7874.4408932619499</v>
      </c>
      <c r="D46" s="696">
        <v>12</v>
      </c>
      <c r="E46" s="675">
        <f t="shared" si="2"/>
        <v>7886.4408932619499</v>
      </c>
      <c r="F46" s="696">
        <v>9589.7541600872501</v>
      </c>
      <c r="G46" s="696"/>
      <c r="H46" s="675">
        <f t="shared" si="3"/>
        <v>9589.7541600872501</v>
      </c>
    </row>
    <row r="47" spans="1:8">
      <c r="A47" s="446">
        <v>19</v>
      </c>
      <c r="B47" s="420" t="s">
        <v>758</v>
      </c>
      <c r="C47" s="696">
        <v>1292.7</v>
      </c>
      <c r="D47" s="696">
        <v>0</v>
      </c>
      <c r="E47" s="675">
        <f t="shared" si="2"/>
        <v>1292.7</v>
      </c>
      <c r="F47" s="696">
        <v>177465.593303701</v>
      </c>
      <c r="G47" s="696">
        <v>0</v>
      </c>
      <c r="H47" s="675">
        <f t="shared" si="3"/>
        <v>177465.593303701</v>
      </c>
    </row>
    <row r="48" spans="1:8">
      <c r="A48" s="446">
        <v>19.100000000000001</v>
      </c>
      <c r="B48" s="421" t="s">
        <v>759</v>
      </c>
      <c r="C48" s="696">
        <v>1292.7</v>
      </c>
      <c r="D48" s="696">
        <v>0</v>
      </c>
      <c r="E48" s="675">
        <f t="shared" si="2"/>
        <v>1292.7</v>
      </c>
      <c r="F48" s="696">
        <v>1986</v>
      </c>
      <c r="G48" s="696"/>
      <c r="H48" s="675">
        <f t="shared" si="3"/>
        <v>1986</v>
      </c>
    </row>
    <row r="49" spans="1:8">
      <c r="A49" s="446">
        <v>19.2</v>
      </c>
      <c r="B49" s="422" t="s">
        <v>760</v>
      </c>
      <c r="C49" s="696">
        <v>0</v>
      </c>
      <c r="D49" s="696">
        <v>0</v>
      </c>
      <c r="E49" s="675">
        <f t="shared" si="2"/>
        <v>0</v>
      </c>
      <c r="F49" s="696">
        <v>175479.593303701</v>
      </c>
      <c r="G49" s="696"/>
      <c r="H49" s="675">
        <f t="shared" si="3"/>
        <v>175479.593303701</v>
      </c>
    </row>
    <row r="50" spans="1:8">
      <c r="A50" s="446">
        <v>20</v>
      </c>
      <c r="B50" s="423" t="s">
        <v>101</v>
      </c>
      <c r="C50" s="696">
        <v>0</v>
      </c>
      <c r="D50" s="696">
        <v>89812035.934200004</v>
      </c>
      <c r="E50" s="675">
        <f t="shared" si="2"/>
        <v>89812035.934200004</v>
      </c>
      <c r="F50" s="696">
        <v>0</v>
      </c>
      <c r="G50" s="696">
        <v>95901341.479999989</v>
      </c>
      <c r="H50" s="675">
        <f t="shared" si="3"/>
        <v>95901341.479999989</v>
      </c>
    </row>
    <row r="51" spans="1:8">
      <c r="A51" s="446">
        <v>21</v>
      </c>
      <c r="B51" s="424" t="s">
        <v>89</v>
      </c>
      <c r="C51" s="696">
        <v>4081822.63</v>
      </c>
      <c r="D51" s="696">
        <v>12815055.665199999</v>
      </c>
      <c r="E51" s="675">
        <f t="shared" si="2"/>
        <v>16896878.295199998</v>
      </c>
      <c r="F51" s="696">
        <v>2003006.2014999995</v>
      </c>
      <c r="G51" s="696">
        <v>14880643.044500001</v>
      </c>
      <c r="H51" s="675">
        <f t="shared" si="3"/>
        <v>16883649.245999999</v>
      </c>
    </row>
    <row r="52" spans="1:8">
      <c r="A52" s="446">
        <v>21.1</v>
      </c>
      <c r="B52" s="419" t="s">
        <v>761</v>
      </c>
      <c r="C52" s="696">
        <v>1060412.6299999999</v>
      </c>
      <c r="D52" s="696"/>
      <c r="E52" s="675">
        <f t="shared" si="2"/>
        <v>1060412.6299999999</v>
      </c>
      <c r="F52" s="696">
        <v>1060412.6299999999</v>
      </c>
      <c r="G52" s="696"/>
      <c r="H52" s="675">
        <f t="shared" si="3"/>
        <v>1060412.6299999999</v>
      </c>
    </row>
    <row r="53" spans="1:8">
      <c r="A53" s="446">
        <v>22</v>
      </c>
      <c r="B53" s="423" t="s">
        <v>762</v>
      </c>
      <c r="C53" s="696">
        <v>15846239.660893261</v>
      </c>
      <c r="D53" s="696">
        <v>104127874.3601</v>
      </c>
      <c r="E53" s="675">
        <f t="shared" si="2"/>
        <v>119974114.02099326</v>
      </c>
      <c r="F53" s="696">
        <v>18094967.538963787</v>
      </c>
      <c r="G53" s="696">
        <v>112138339.59469998</v>
      </c>
      <c r="H53" s="675">
        <f t="shared" si="3"/>
        <v>130233307.13366377</v>
      </c>
    </row>
    <row r="54" spans="1:8" ht="24" customHeight="1">
      <c r="A54" s="446"/>
      <c r="B54" s="425" t="s">
        <v>763</v>
      </c>
      <c r="C54" s="806"/>
      <c r="D54" s="807"/>
      <c r="E54" s="807"/>
      <c r="F54" s="807"/>
      <c r="G54" s="807"/>
      <c r="H54" s="808"/>
    </row>
    <row r="55" spans="1:8">
      <c r="A55" s="446">
        <v>23</v>
      </c>
      <c r="B55" s="423" t="s">
        <v>105</v>
      </c>
      <c r="C55" s="696">
        <v>209008277</v>
      </c>
      <c r="D55" s="696"/>
      <c r="E55" s="675">
        <f>C55+D55</f>
        <v>209008277</v>
      </c>
      <c r="F55" s="696">
        <v>209008277</v>
      </c>
      <c r="G55" s="696"/>
      <c r="H55" s="675">
        <f>F55+G55</f>
        <v>209008277</v>
      </c>
    </row>
    <row r="56" spans="1:8">
      <c r="A56" s="446">
        <v>24</v>
      </c>
      <c r="B56" s="423" t="s">
        <v>764</v>
      </c>
      <c r="C56" s="696"/>
      <c r="D56" s="696"/>
      <c r="E56" s="675">
        <f t="shared" ref="E56:E69" si="4">C56+D56</f>
        <v>0</v>
      </c>
      <c r="F56" s="696"/>
      <c r="G56" s="696"/>
      <c r="H56" s="675">
        <f t="shared" ref="H56:H69" si="5">F56+G56</f>
        <v>0</v>
      </c>
    </row>
    <row r="57" spans="1:8">
      <c r="A57" s="446">
        <v>25</v>
      </c>
      <c r="B57" s="426" t="s">
        <v>102</v>
      </c>
      <c r="C57" s="696"/>
      <c r="D57" s="696"/>
      <c r="E57" s="675">
        <f t="shared" si="4"/>
        <v>0</v>
      </c>
      <c r="F57" s="696"/>
      <c r="G57" s="696"/>
      <c r="H57" s="675">
        <f t="shared" si="5"/>
        <v>0</v>
      </c>
    </row>
    <row r="58" spans="1:8">
      <c r="A58" s="446">
        <v>26</v>
      </c>
      <c r="B58" s="420" t="s">
        <v>765</v>
      </c>
      <c r="C58" s="696"/>
      <c r="D58" s="696"/>
      <c r="E58" s="675">
        <f t="shared" si="4"/>
        <v>0</v>
      </c>
      <c r="F58" s="696"/>
      <c r="G58" s="696"/>
      <c r="H58" s="675">
        <f t="shared" si="5"/>
        <v>0</v>
      </c>
    </row>
    <row r="59" spans="1:8" ht="21">
      <c r="A59" s="446">
        <v>27</v>
      </c>
      <c r="B59" s="420" t="s">
        <v>766</v>
      </c>
      <c r="C59" s="696">
        <v>0</v>
      </c>
      <c r="D59" s="696">
        <v>43188500</v>
      </c>
      <c r="E59" s="675">
        <f t="shared" si="4"/>
        <v>43188500</v>
      </c>
      <c r="F59" s="696">
        <v>50857200</v>
      </c>
      <c r="G59" s="696">
        <v>0</v>
      </c>
      <c r="H59" s="675">
        <f t="shared" si="5"/>
        <v>50857200</v>
      </c>
    </row>
    <row r="60" spans="1:8">
      <c r="A60" s="446">
        <v>27.1</v>
      </c>
      <c r="B60" s="427" t="s">
        <v>767</v>
      </c>
      <c r="C60" s="696">
        <v>0</v>
      </c>
      <c r="D60" s="696">
        <v>43188500</v>
      </c>
      <c r="E60" s="675">
        <f t="shared" si="4"/>
        <v>43188500</v>
      </c>
      <c r="F60" s="696">
        <v>50857200</v>
      </c>
      <c r="G60" s="696"/>
      <c r="H60" s="675">
        <f t="shared" si="5"/>
        <v>50857200</v>
      </c>
    </row>
    <row r="61" spans="1:8">
      <c r="A61" s="446">
        <v>27.2</v>
      </c>
      <c r="B61" s="418" t="s">
        <v>768</v>
      </c>
      <c r="C61" s="696"/>
      <c r="D61" s="696"/>
      <c r="E61" s="675">
        <f t="shared" si="4"/>
        <v>0</v>
      </c>
      <c r="F61" s="696"/>
      <c r="G61" s="696"/>
      <c r="H61" s="675">
        <f t="shared" si="5"/>
        <v>0</v>
      </c>
    </row>
    <row r="62" spans="1:8">
      <c r="A62" s="446">
        <v>28</v>
      </c>
      <c r="B62" s="424" t="s">
        <v>769</v>
      </c>
      <c r="C62" s="696"/>
      <c r="D62" s="696"/>
      <c r="E62" s="675">
        <f t="shared" si="4"/>
        <v>0</v>
      </c>
      <c r="F62" s="696"/>
      <c r="G62" s="696"/>
      <c r="H62" s="675">
        <f t="shared" si="5"/>
        <v>0</v>
      </c>
    </row>
    <row r="63" spans="1:8">
      <c r="A63" s="446">
        <v>29</v>
      </c>
      <c r="B63" s="420" t="s">
        <v>770</v>
      </c>
      <c r="C63" s="696">
        <v>12471274</v>
      </c>
      <c r="D63" s="696">
        <v>0</v>
      </c>
      <c r="E63" s="675">
        <f t="shared" si="4"/>
        <v>12471274</v>
      </c>
      <c r="F63" s="696">
        <v>11740025.619999999</v>
      </c>
      <c r="G63" s="696">
        <v>0</v>
      </c>
      <c r="H63" s="675">
        <f t="shared" si="5"/>
        <v>11740025.619999999</v>
      </c>
    </row>
    <row r="64" spans="1:8">
      <c r="A64" s="446">
        <v>29.1</v>
      </c>
      <c r="B64" s="409" t="s">
        <v>771</v>
      </c>
      <c r="C64" s="696">
        <v>12471274</v>
      </c>
      <c r="D64" s="696"/>
      <c r="E64" s="675">
        <f t="shared" si="4"/>
        <v>12471274</v>
      </c>
      <c r="F64" s="696">
        <v>11740025.619999999</v>
      </c>
      <c r="G64" s="696"/>
      <c r="H64" s="675">
        <f t="shared" si="5"/>
        <v>11740025.619999999</v>
      </c>
    </row>
    <row r="65" spans="1:8" ht="25.35" customHeight="1">
      <c r="A65" s="446">
        <v>29.2</v>
      </c>
      <c r="B65" s="427" t="s">
        <v>772</v>
      </c>
      <c r="C65" s="696"/>
      <c r="D65" s="696"/>
      <c r="E65" s="675">
        <f t="shared" si="4"/>
        <v>0</v>
      </c>
      <c r="F65" s="696"/>
      <c r="G65" s="696"/>
      <c r="H65" s="675">
        <f t="shared" si="5"/>
        <v>0</v>
      </c>
    </row>
    <row r="66" spans="1:8" ht="22.5" customHeight="1">
      <c r="A66" s="446">
        <v>29.3</v>
      </c>
      <c r="B66" s="412" t="s">
        <v>773</v>
      </c>
      <c r="C66" s="696"/>
      <c r="D66" s="696"/>
      <c r="E66" s="675">
        <f t="shared" si="4"/>
        <v>0</v>
      </c>
      <c r="F66" s="696"/>
      <c r="G66" s="696"/>
      <c r="H66" s="675">
        <f t="shared" si="5"/>
        <v>0</v>
      </c>
    </row>
    <row r="67" spans="1:8">
      <c r="A67" s="446">
        <v>30</v>
      </c>
      <c r="B67" s="408" t="s">
        <v>103</v>
      </c>
      <c r="C67" s="696">
        <v>65912119.624154583</v>
      </c>
      <c r="D67" s="696"/>
      <c r="E67" s="675">
        <f t="shared" si="4"/>
        <v>65912119.624154583</v>
      </c>
      <c r="F67" s="696">
        <v>53397442.102902658</v>
      </c>
      <c r="G67" s="696"/>
      <c r="H67" s="675">
        <f t="shared" si="5"/>
        <v>53397442.102902658</v>
      </c>
    </row>
    <row r="68" spans="1:8">
      <c r="A68" s="446">
        <v>31</v>
      </c>
      <c r="B68" s="428" t="s">
        <v>774</v>
      </c>
      <c r="C68" s="696">
        <v>287391670.62415457</v>
      </c>
      <c r="D68" s="696">
        <v>43188500</v>
      </c>
      <c r="E68" s="675">
        <f t="shared" si="4"/>
        <v>330580170.62415457</v>
      </c>
      <c r="F68" s="696">
        <v>325002944.72290266</v>
      </c>
      <c r="G68" s="696">
        <v>0</v>
      </c>
      <c r="H68" s="675">
        <f t="shared" si="5"/>
        <v>325002944.72290266</v>
      </c>
    </row>
    <row r="69" spans="1:8">
      <c r="A69" s="446">
        <v>32</v>
      </c>
      <c r="B69" s="429" t="s">
        <v>775</v>
      </c>
      <c r="C69" s="696">
        <v>303237910.28504783</v>
      </c>
      <c r="D69" s="696">
        <v>147316374.3601</v>
      </c>
      <c r="E69" s="675">
        <f t="shared" si="4"/>
        <v>450554284.6451478</v>
      </c>
      <c r="F69" s="696">
        <v>343097912.26186645</v>
      </c>
      <c r="G69" s="696">
        <v>112138339.59469998</v>
      </c>
      <c r="H69" s="675">
        <f t="shared" si="5"/>
        <v>455236251.85656643</v>
      </c>
    </row>
    <row r="70" spans="1:8">
      <c r="C70" s="676"/>
      <c r="D70" s="676"/>
      <c r="E70" s="785">
        <f>E69-E36</f>
        <v>-0.26735067367553711</v>
      </c>
      <c r="F70" s="676"/>
      <c r="G70" s="676"/>
      <c r="H70" s="785">
        <f>H69-H36</f>
        <v>0</v>
      </c>
    </row>
    <row r="71" spans="1:8">
      <c r="C71" s="676"/>
      <c r="D71" s="676"/>
      <c r="E71" s="676"/>
      <c r="F71" s="676"/>
      <c r="G71" s="676"/>
      <c r="H71" s="676"/>
    </row>
    <row r="72" spans="1:8">
      <c r="C72" s="676"/>
      <c r="D72" s="676"/>
      <c r="E72" s="676"/>
      <c r="F72" s="676"/>
      <c r="G72" s="676"/>
      <c r="H72" s="676"/>
    </row>
    <row r="73" spans="1:8">
      <c r="C73" s="676"/>
      <c r="D73" s="676"/>
      <c r="E73" s="676"/>
      <c r="F73" s="676"/>
      <c r="G73" s="676"/>
      <c r="H73" s="676"/>
    </row>
    <row r="74" spans="1:8">
      <c r="C74" s="676"/>
      <c r="D74" s="676"/>
      <c r="E74" s="676"/>
      <c r="F74" s="676"/>
      <c r="G74" s="676"/>
      <c r="H74" s="676"/>
    </row>
    <row r="75" spans="1:8">
      <c r="C75" s="676"/>
      <c r="D75" s="676"/>
      <c r="E75" s="676"/>
      <c r="F75" s="676"/>
      <c r="G75" s="676"/>
      <c r="H75" s="676"/>
    </row>
    <row r="76" spans="1:8">
      <c r="C76" s="676"/>
      <c r="D76" s="676"/>
      <c r="E76" s="676"/>
      <c r="F76" s="676"/>
      <c r="G76" s="676"/>
      <c r="H76" s="676"/>
    </row>
    <row r="77" spans="1:8">
      <c r="C77" s="676"/>
      <c r="D77" s="676"/>
      <c r="E77" s="676"/>
      <c r="F77" s="676"/>
      <c r="G77" s="676"/>
      <c r="H77" s="676"/>
    </row>
    <row r="78" spans="1:8">
      <c r="C78" s="676"/>
      <c r="D78" s="676"/>
      <c r="E78" s="676"/>
      <c r="F78" s="676"/>
      <c r="G78" s="676"/>
      <c r="H78" s="676"/>
    </row>
    <row r="79" spans="1:8">
      <c r="C79" s="676"/>
      <c r="D79" s="676"/>
      <c r="E79" s="676"/>
      <c r="F79" s="676"/>
      <c r="G79" s="676"/>
      <c r="H79" s="676"/>
    </row>
    <row r="80" spans="1:8">
      <c r="C80" s="676"/>
      <c r="D80" s="676"/>
      <c r="E80" s="676"/>
      <c r="F80" s="676"/>
      <c r="G80" s="676"/>
      <c r="H80" s="676"/>
    </row>
    <row r="81" spans="3:8">
      <c r="C81" s="676"/>
      <c r="D81" s="676"/>
      <c r="E81" s="676"/>
      <c r="F81" s="676"/>
      <c r="G81" s="676"/>
      <c r="H81" s="676"/>
    </row>
    <row r="82" spans="3:8">
      <c r="C82" s="676"/>
      <c r="D82" s="676"/>
      <c r="E82" s="676"/>
      <c r="F82" s="676"/>
      <c r="G82" s="676"/>
      <c r="H82" s="676"/>
    </row>
    <row r="83" spans="3:8">
      <c r="C83" s="676"/>
      <c r="D83" s="676"/>
      <c r="E83" s="676"/>
      <c r="F83" s="676"/>
      <c r="G83" s="676"/>
      <c r="H83" s="676"/>
    </row>
    <row r="84" spans="3:8">
      <c r="C84" s="676"/>
      <c r="D84" s="676"/>
      <c r="E84" s="676"/>
      <c r="F84" s="676"/>
      <c r="G84" s="676"/>
      <c r="H84" s="676"/>
    </row>
    <row r="85" spans="3:8">
      <c r="C85" s="676"/>
      <c r="D85" s="676"/>
      <c r="E85" s="676"/>
      <c r="F85" s="676"/>
      <c r="G85" s="676"/>
      <c r="H85" s="676"/>
    </row>
    <row r="86" spans="3:8">
      <c r="C86" s="676"/>
      <c r="D86" s="676"/>
      <c r="E86" s="676"/>
      <c r="F86" s="676"/>
      <c r="G86" s="676"/>
      <c r="H86" s="676"/>
    </row>
    <row r="87" spans="3:8">
      <c r="C87" s="676"/>
      <c r="D87" s="676"/>
      <c r="E87" s="676"/>
      <c r="F87" s="676"/>
      <c r="G87" s="676"/>
      <c r="H87" s="676"/>
    </row>
    <row r="88" spans="3:8">
      <c r="C88" s="676"/>
      <c r="D88" s="676"/>
      <c r="E88" s="676"/>
      <c r="F88" s="676"/>
      <c r="G88" s="676"/>
      <c r="H88" s="676"/>
    </row>
    <row r="89" spans="3:8">
      <c r="C89" s="676"/>
      <c r="D89" s="676"/>
      <c r="E89" s="676"/>
      <c r="F89" s="676"/>
      <c r="G89" s="676"/>
      <c r="H89" s="676"/>
    </row>
    <row r="90" spans="3:8">
      <c r="C90" s="676"/>
      <c r="D90" s="676"/>
      <c r="E90" s="676"/>
      <c r="F90" s="676"/>
      <c r="G90" s="676"/>
      <c r="H90" s="676"/>
    </row>
    <row r="91" spans="3:8">
      <c r="C91" s="676"/>
      <c r="D91" s="676"/>
      <c r="E91" s="676"/>
      <c r="F91" s="676"/>
      <c r="G91" s="676"/>
      <c r="H91" s="676"/>
    </row>
    <row r="92" spans="3:8">
      <c r="C92" s="676"/>
      <c r="D92" s="676"/>
      <c r="E92" s="676"/>
      <c r="F92" s="676"/>
      <c r="G92" s="676"/>
      <c r="H92" s="676"/>
    </row>
    <row r="93" spans="3:8">
      <c r="C93" s="676"/>
      <c r="D93" s="676"/>
      <c r="E93" s="676"/>
      <c r="F93" s="676"/>
      <c r="G93" s="676"/>
      <c r="H93" s="676"/>
    </row>
    <row r="94" spans="3:8">
      <c r="C94" s="676"/>
      <c r="D94" s="676"/>
      <c r="E94" s="676"/>
      <c r="F94" s="676"/>
      <c r="G94" s="676"/>
      <c r="H94" s="676"/>
    </row>
    <row r="95" spans="3:8">
      <c r="C95" s="676"/>
      <c r="D95" s="676"/>
      <c r="E95" s="676"/>
      <c r="F95" s="676"/>
      <c r="G95" s="676"/>
      <c r="H95" s="676"/>
    </row>
    <row r="96" spans="3:8">
      <c r="C96" s="676"/>
      <c r="D96" s="676"/>
      <c r="E96" s="676"/>
      <c r="F96" s="676"/>
      <c r="G96" s="676"/>
      <c r="H96" s="676"/>
    </row>
    <row r="97" spans="3:8">
      <c r="C97" s="676"/>
      <c r="D97" s="676"/>
      <c r="E97" s="676"/>
      <c r="F97" s="676"/>
      <c r="G97" s="676"/>
      <c r="H97" s="676"/>
    </row>
    <row r="98" spans="3:8">
      <c r="C98" s="676"/>
      <c r="D98" s="676"/>
      <c r="E98" s="676"/>
      <c r="F98" s="676"/>
      <c r="G98" s="676"/>
      <c r="H98" s="676"/>
    </row>
    <row r="99" spans="3:8">
      <c r="C99" s="676"/>
      <c r="D99" s="676"/>
      <c r="E99" s="676"/>
      <c r="F99" s="676"/>
      <c r="G99" s="676"/>
      <c r="H99" s="676"/>
    </row>
    <row r="100" spans="3:8">
      <c r="C100" s="676"/>
      <c r="D100" s="676"/>
      <c r="E100" s="676"/>
      <c r="F100" s="676"/>
      <c r="G100" s="676"/>
      <c r="H100" s="676"/>
    </row>
    <row r="101" spans="3:8">
      <c r="C101" s="676"/>
      <c r="D101" s="676"/>
      <c r="E101" s="676"/>
      <c r="F101" s="676"/>
      <c r="G101" s="676"/>
      <c r="H101" s="676"/>
    </row>
    <row r="102" spans="3:8">
      <c r="C102" s="676"/>
      <c r="D102" s="676"/>
      <c r="E102" s="676"/>
      <c r="F102" s="676"/>
      <c r="G102" s="676"/>
      <c r="H102" s="676"/>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2" customWidth="1"/>
    <col min="2" max="2" width="66.28515625" style="163" customWidth="1"/>
    <col min="3" max="3" width="131.42578125" style="164" customWidth="1"/>
    <col min="4" max="5" width="10.28515625" style="155" customWidth="1"/>
    <col min="6" max="6" width="67.7109375" style="155" customWidth="1"/>
    <col min="7" max="16384" width="43.5703125" style="155"/>
  </cols>
  <sheetData>
    <row r="1" spans="1:3" ht="12.75" thickTop="1" thickBot="1">
      <c r="A1" s="978" t="s">
        <v>187</v>
      </c>
      <c r="B1" s="979"/>
      <c r="C1" s="980"/>
    </row>
    <row r="2" spans="1:3" ht="26.25" customHeight="1">
      <c r="A2" s="391"/>
      <c r="B2" s="981" t="s">
        <v>188</v>
      </c>
      <c r="C2" s="981"/>
    </row>
    <row r="3" spans="1:3" s="160" customFormat="1" ht="11.25" customHeight="1">
      <c r="A3" s="159"/>
      <c r="B3" s="981" t="s">
        <v>263</v>
      </c>
      <c r="C3" s="981"/>
    </row>
    <row r="4" spans="1:3" ht="12" customHeight="1" thickBot="1">
      <c r="A4" s="960" t="s">
        <v>267</v>
      </c>
      <c r="B4" s="961"/>
      <c r="C4" s="962"/>
    </row>
    <row r="5" spans="1:3" ht="12" thickTop="1">
      <c r="A5" s="156"/>
      <c r="B5" s="963" t="s">
        <v>189</v>
      </c>
      <c r="C5" s="964"/>
    </row>
    <row r="6" spans="1:3">
      <c r="A6" s="391"/>
      <c r="B6" s="940" t="s">
        <v>264</v>
      </c>
      <c r="C6" s="941"/>
    </row>
    <row r="7" spans="1:3">
      <c r="A7" s="391"/>
      <c r="B7" s="940" t="s">
        <v>190</v>
      </c>
      <c r="C7" s="941"/>
    </row>
    <row r="8" spans="1:3">
      <c r="A8" s="391"/>
      <c r="B8" s="940" t="s">
        <v>265</v>
      </c>
      <c r="C8" s="941"/>
    </row>
    <row r="9" spans="1:3">
      <c r="A9" s="391"/>
      <c r="B9" s="984" t="s">
        <v>266</v>
      </c>
      <c r="C9" s="985"/>
    </row>
    <row r="10" spans="1:3">
      <c r="A10" s="391"/>
      <c r="B10" s="976" t="s">
        <v>191</v>
      </c>
      <c r="C10" s="977" t="s">
        <v>191</v>
      </c>
    </row>
    <row r="11" spans="1:3">
      <c r="A11" s="391"/>
      <c r="B11" s="976" t="s">
        <v>192</v>
      </c>
      <c r="C11" s="977" t="s">
        <v>192</v>
      </c>
    </row>
    <row r="12" spans="1:3">
      <c r="A12" s="391"/>
      <c r="B12" s="976" t="s">
        <v>193</v>
      </c>
      <c r="C12" s="977" t="s">
        <v>193</v>
      </c>
    </row>
    <row r="13" spans="1:3">
      <c r="A13" s="391"/>
      <c r="B13" s="976" t="s">
        <v>194</v>
      </c>
      <c r="C13" s="977" t="s">
        <v>194</v>
      </c>
    </row>
    <row r="14" spans="1:3">
      <c r="A14" s="391"/>
      <c r="B14" s="976" t="s">
        <v>195</v>
      </c>
      <c r="C14" s="977" t="s">
        <v>195</v>
      </c>
    </row>
    <row r="15" spans="1:3" ht="21.75" customHeight="1">
      <c r="A15" s="391"/>
      <c r="B15" s="976" t="s">
        <v>196</v>
      </c>
      <c r="C15" s="977" t="s">
        <v>196</v>
      </c>
    </row>
    <row r="16" spans="1:3">
      <c r="A16" s="391"/>
      <c r="B16" s="976" t="s">
        <v>197</v>
      </c>
      <c r="C16" s="977" t="s">
        <v>198</v>
      </c>
    </row>
    <row r="17" spans="1:6">
      <c r="A17" s="391"/>
      <c r="B17" s="976" t="s">
        <v>199</v>
      </c>
      <c r="C17" s="977" t="s">
        <v>200</v>
      </c>
    </row>
    <row r="18" spans="1:6">
      <c r="A18" s="391"/>
      <c r="B18" s="976" t="s">
        <v>201</v>
      </c>
      <c r="C18" s="977" t="s">
        <v>202</v>
      </c>
    </row>
    <row r="19" spans="1:6">
      <c r="A19" s="391"/>
      <c r="B19" s="976" t="s">
        <v>203</v>
      </c>
      <c r="C19" s="977" t="s">
        <v>203</v>
      </c>
    </row>
    <row r="20" spans="1:6">
      <c r="A20" s="391"/>
      <c r="B20" s="982" t="s">
        <v>958</v>
      </c>
      <c r="C20" s="983" t="s">
        <v>204</v>
      </c>
    </row>
    <row r="21" spans="1:6">
      <c r="A21" s="391"/>
      <c r="B21" s="976" t="s">
        <v>947</v>
      </c>
      <c r="C21" s="977" t="s">
        <v>205</v>
      </c>
    </row>
    <row r="22" spans="1:6" ht="23.25" customHeight="1">
      <c r="A22" s="391"/>
      <c r="B22" s="976" t="s">
        <v>206</v>
      </c>
      <c r="C22" s="977" t="s">
        <v>207</v>
      </c>
      <c r="F22" s="620"/>
    </row>
    <row r="23" spans="1:6">
      <c r="A23" s="391"/>
      <c r="B23" s="976" t="s">
        <v>208</v>
      </c>
      <c r="C23" s="977" t="s">
        <v>208</v>
      </c>
    </row>
    <row r="24" spans="1:6">
      <c r="A24" s="391"/>
      <c r="B24" s="976" t="s">
        <v>209</v>
      </c>
      <c r="C24" s="977" t="s">
        <v>210</v>
      </c>
    </row>
    <row r="25" spans="1:6" ht="12" thickBot="1">
      <c r="A25" s="157"/>
      <c r="B25" s="970" t="s">
        <v>211</v>
      </c>
      <c r="C25" s="971"/>
    </row>
    <row r="26" spans="1:6" ht="12.75" thickTop="1" thickBot="1">
      <c r="A26" s="960" t="s">
        <v>844</v>
      </c>
      <c r="B26" s="961"/>
      <c r="C26" s="962"/>
    </row>
    <row r="27" spans="1:6" ht="12.75" thickTop="1" thickBot="1">
      <c r="A27" s="158"/>
      <c r="B27" s="972" t="s">
        <v>845</v>
      </c>
      <c r="C27" s="973"/>
    </row>
    <row r="28" spans="1:6" ht="12.75" thickTop="1" thickBot="1">
      <c r="A28" s="960" t="s">
        <v>268</v>
      </c>
      <c r="B28" s="961"/>
      <c r="C28" s="962"/>
    </row>
    <row r="29" spans="1:6" ht="12" thickTop="1">
      <c r="A29" s="156"/>
      <c r="B29" s="974" t="s">
        <v>848</v>
      </c>
      <c r="C29" s="975" t="s">
        <v>212</v>
      </c>
    </row>
    <row r="30" spans="1:6">
      <c r="A30" s="391"/>
      <c r="B30" s="965" t="s">
        <v>216</v>
      </c>
      <c r="C30" s="966" t="s">
        <v>213</v>
      </c>
    </row>
    <row r="31" spans="1:6">
      <c r="A31" s="391"/>
      <c r="B31" s="965" t="s">
        <v>846</v>
      </c>
      <c r="C31" s="966" t="s">
        <v>214</v>
      </c>
    </row>
    <row r="32" spans="1:6">
      <c r="A32" s="391"/>
      <c r="B32" s="965" t="s">
        <v>847</v>
      </c>
      <c r="C32" s="966" t="s">
        <v>215</v>
      </c>
    </row>
    <row r="33" spans="1:3">
      <c r="A33" s="391"/>
      <c r="B33" s="965" t="s">
        <v>219</v>
      </c>
      <c r="C33" s="966" t="s">
        <v>220</v>
      </c>
    </row>
    <row r="34" spans="1:3">
      <c r="A34" s="391"/>
      <c r="B34" s="965" t="s">
        <v>849</v>
      </c>
      <c r="C34" s="966" t="s">
        <v>217</v>
      </c>
    </row>
    <row r="35" spans="1:3">
      <c r="A35" s="391"/>
      <c r="B35" s="965" t="s">
        <v>850</v>
      </c>
      <c r="C35" s="966" t="s">
        <v>218</v>
      </c>
    </row>
    <row r="36" spans="1:3">
      <c r="A36" s="391"/>
      <c r="B36" s="967" t="s">
        <v>851</v>
      </c>
      <c r="C36" s="968"/>
    </row>
    <row r="37" spans="1:3" ht="24.75" customHeight="1">
      <c r="A37" s="391"/>
      <c r="B37" s="965" t="s">
        <v>852</v>
      </c>
      <c r="C37" s="966" t="s">
        <v>221</v>
      </c>
    </row>
    <row r="38" spans="1:3" ht="23.25" customHeight="1">
      <c r="A38" s="391"/>
      <c r="B38" s="965" t="s">
        <v>853</v>
      </c>
      <c r="C38" s="966" t="s">
        <v>222</v>
      </c>
    </row>
    <row r="39" spans="1:3" ht="23.25" customHeight="1">
      <c r="A39" s="457"/>
      <c r="B39" s="967" t="s">
        <v>854</v>
      </c>
      <c r="C39" s="969"/>
    </row>
    <row r="40" spans="1:3" ht="12" customHeight="1">
      <c r="A40" s="391"/>
      <c r="B40" s="965" t="s">
        <v>855</v>
      </c>
      <c r="C40" s="966"/>
    </row>
    <row r="41" spans="1:3" ht="12" thickBot="1">
      <c r="A41" s="960" t="s">
        <v>269</v>
      </c>
      <c r="B41" s="961"/>
      <c r="C41" s="962"/>
    </row>
    <row r="42" spans="1:3" ht="12" thickTop="1">
      <c r="A42" s="156"/>
      <c r="B42" s="963" t="s">
        <v>299</v>
      </c>
      <c r="C42" s="964" t="s">
        <v>223</v>
      </c>
    </row>
    <row r="43" spans="1:3">
      <c r="A43" s="391"/>
      <c r="B43" s="940" t="s">
        <v>298</v>
      </c>
      <c r="C43" s="941"/>
    </row>
    <row r="44" spans="1:3" ht="23.25" customHeight="1" thickBot="1">
      <c r="A44" s="157"/>
      <c r="B44" s="958" t="s">
        <v>224</v>
      </c>
      <c r="C44" s="959" t="s">
        <v>225</v>
      </c>
    </row>
    <row r="45" spans="1:3" ht="11.25" customHeight="1" thickTop="1" thickBot="1">
      <c r="A45" s="960" t="s">
        <v>270</v>
      </c>
      <c r="B45" s="961"/>
      <c r="C45" s="962"/>
    </row>
    <row r="46" spans="1:3" ht="26.25" customHeight="1" thickTop="1">
      <c r="A46" s="391"/>
      <c r="B46" s="940" t="s">
        <v>271</v>
      </c>
      <c r="C46" s="941"/>
    </row>
    <row r="47" spans="1:3" ht="12" thickBot="1">
      <c r="A47" s="960" t="s">
        <v>272</v>
      </c>
      <c r="B47" s="961"/>
      <c r="C47" s="962"/>
    </row>
    <row r="48" spans="1:3" ht="12" thickTop="1">
      <c r="A48" s="156"/>
      <c r="B48" s="963" t="s">
        <v>226</v>
      </c>
      <c r="C48" s="964" t="s">
        <v>226</v>
      </c>
    </row>
    <row r="49" spans="1:3" ht="11.25" customHeight="1">
      <c r="A49" s="391"/>
      <c r="B49" s="940" t="s">
        <v>227</v>
      </c>
      <c r="C49" s="941" t="s">
        <v>227</v>
      </c>
    </row>
    <row r="50" spans="1:3">
      <c r="A50" s="391"/>
      <c r="B50" s="940" t="s">
        <v>228</v>
      </c>
      <c r="C50" s="941" t="s">
        <v>228</v>
      </c>
    </row>
    <row r="51" spans="1:3" ht="11.25" customHeight="1">
      <c r="A51" s="391"/>
      <c r="B51" s="940" t="s">
        <v>857</v>
      </c>
      <c r="C51" s="941" t="s">
        <v>229</v>
      </c>
    </row>
    <row r="52" spans="1:3" ht="33.6" customHeight="1">
      <c r="A52" s="391"/>
      <c r="B52" s="940" t="s">
        <v>230</v>
      </c>
      <c r="C52" s="941" t="s">
        <v>230</v>
      </c>
    </row>
    <row r="53" spans="1:3" ht="11.25" customHeight="1">
      <c r="A53" s="391"/>
      <c r="B53" s="940" t="s">
        <v>319</v>
      </c>
      <c r="C53" s="941" t="s">
        <v>231</v>
      </c>
    </row>
    <row r="54" spans="1:3" ht="11.25" customHeight="1" thickBot="1">
      <c r="A54" s="960" t="s">
        <v>273</v>
      </c>
      <c r="B54" s="961"/>
      <c r="C54" s="962"/>
    </row>
    <row r="55" spans="1:3" ht="12" thickTop="1">
      <c r="A55" s="156"/>
      <c r="B55" s="963" t="s">
        <v>226</v>
      </c>
      <c r="C55" s="964" t="s">
        <v>226</v>
      </c>
    </row>
    <row r="56" spans="1:3">
      <c r="A56" s="391"/>
      <c r="B56" s="940" t="s">
        <v>232</v>
      </c>
      <c r="C56" s="941" t="s">
        <v>232</v>
      </c>
    </row>
    <row r="57" spans="1:3">
      <c r="A57" s="391"/>
      <c r="B57" s="940" t="s">
        <v>276</v>
      </c>
      <c r="C57" s="941" t="s">
        <v>233</v>
      </c>
    </row>
    <row r="58" spans="1:3">
      <c r="A58" s="391"/>
      <c r="B58" s="940" t="s">
        <v>234</v>
      </c>
      <c r="C58" s="941" t="s">
        <v>234</v>
      </c>
    </row>
    <row r="59" spans="1:3">
      <c r="A59" s="391"/>
      <c r="B59" s="940" t="s">
        <v>235</v>
      </c>
      <c r="C59" s="941" t="s">
        <v>235</v>
      </c>
    </row>
    <row r="60" spans="1:3">
      <c r="A60" s="391"/>
      <c r="B60" s="940" t="s">
        <v>236</v>
      </c>
      <c r="C60" s="941" t="s">
        <v>236</v>
      </c>
    </row>
    <row r="61" spans="1:3">
      <c r="A61" s="391"/>
      <c r="B61" s="940" t="s">
        <v>277</v>
      </c>
      <c r="C61" s="941" t="s">
        <v>237</v>
      </c>
    </row>
    <row r="62" spans="1:3">
      <c r="A62" s="391"/>
      <c r="B62" s="940" t="s">
        <v>238</v>
      </c>
      <c r="C62" s="941" t="s">
        <v>238</v>
      </c>
    </row>
    <row r="63" spans="1:3" ht="12" thickBot="1">
      <c r="A63" s="157"/>
      <c r="B63" s="958" t="s">
        <v>239</v>
      </c>
      <c r="C63" s="959" t="s">
        <v>239</v>
      </c>
    </row>
    <row r="64" spans="1:3" ht="11.25" customHeight="1" thickTop="1">
      <c r="A64" s="946" t="s">
        <v>274</v>
      </c>
      <c r="B64" s="947"/>
      <c r="C64" s="948"/>
    </row>
    <row r="65" spans="1:3" ht="12" thickBot="1">
      <c r="A65" s="157"/>
      <c r="B65" s="958" t="s">
        <v>240</v>
      </c>
      <c r="C65" s="959" t="s">
        <v>240</v>
      </c>
    </row>
    <row r="66" spans="1:3" ht="11.25" customHeight="1" thickTop="1" thickBot="1">
      <c r="A66" s="960" t="s">
        <v>275</v>
      </c>
      <c r="B66" s="961"/>
      <c r="C66" s="962"/>
    </row>
    <row r="67" spans="1:3" ht="12" thickTop="1">
      <c r="A67" s="156"/>
      <c r="B67" s="963" t="s">
        <v>241</v>
      </c>
      <c r="C67" s="964" t="s">
        <v>241</v>
      </c>
    </row>
    <row r="68" spans="1:3">
      <c r="A68" s="391"/>
      <c r="B68" s="940" t="s">
        <v>859</v>
      </c>
      <c r="C68" s="941" t="s">
        <v>242</v>
      </c>
    </row>
    <row r="69" spans="1:3">
      <c r="A69" s="391"/>
      <c r="B69" s="940" t="s">
        <v>243</v>
      </c>
      <c r="C69" s="941" t="s">
        <v>243</v>
      </c>
    </row>
    <row r="70" spans="1:3" ht="55.35" customHeight="1">
      <c r="A70" s="391"/>
      <c r="B70" s="956" t="s">
        <v>688</v>
      </c>
      <c r="C70" s="957" t="s">
        <v>244</v>
      </c>
    </row>
    <row r="71" spans="1:3" ht="33.75" customHeight="1">
      <c r="A71" s="391"/>
      <c r="B71" s="956" t="s">
        <v>278</v>
      </c>
      <c r="C71" s="957" t="s">
        <v>245</v>
      </c>
    </row>
    <row r="72" spans="1:3" ht="15.75" customHeight="1">
      <c r="A72" s="391"/>
      <c r="B72" s="956" t="s">
        <v>860</v>
      </c>
      <c r="C72" s="957" t="s">
        <v>246</v>
      </c>
    </row>
    <row r="73" spans="1:3">
      <c r="A73" s="391"/>
      <c r="B73" s="940" t="s">
        <v>247</v>
      </c>
      <c r="C73" s="941" t="s">
        <v>247</v>
      </c>
    </row>
    <row r="74" spans="1:3" ht="12" thickBot="1">
      <c r="A74" s="157"/>
      <c r="B74" s="958" t="s">
        <v>248</v>
      </c>
      <c r="C74" s="959" t="s">
        <v>248</v>
      </c>
    </row>
    <row r="75" spans="1:3" ht="12" thickTop="1">
      <c r="A75" s="946" t="s">
        <v>302</v>
      </c>
      <c r="B75" s="947"/>
      <c r="C75" s="948"/>
    </row>
    <row r="76" spans="1:3">
      <c r="A76" s="391"/>
      <c r="B76" s="940" t="s">
        <v>240</v>
      </c>
      <c r="C76" s="941"/>
    </row>
    <row r="77" spans="1:3">
      <c r="A77" s="391"/>
      <c r="B77" s="940" t="s">
        <v>300</v>
      </c>
      <c r="C77" s="941"/>
    </row>
    <row r="78" spans="1:3">
      <c r="A78" s="391"/>
      <c r="B78" s="940" t="s">
        <v>301</v>
      </c>
      <c r="C78" s="941"/>
    </row>
    <row r="79" spans="1:3">
      <c r="A79" s="946" t="s">
        <v>303</v>
      </c>
      <c r="B79" s="947"/>
      <c r="C79" s="948"/>
    </row>
    <row r="80" spans="1:3">
      <c r="A80" s="391"/>
      <c r="B80" s="940" t="s">
        <v>240</v>
      </c>
      <c r="C80" s="941"/>
    </row>
    <row r="81" spans="1:3">
      <c r="A81" s="391"/>
      <c r="B81" s="940" t="s">
        <v>304</v>
      </c>
      <c r="C81" s="941"/>
    </row>
    <row r="82" spans="1:3" ht="79.5" customHeight="1">
      <c r="A82" s="391"/>
      <c r="B82" s="940" t="s">
        <v>318</v>
      </c>
      <c r="C82" s="941"/>
    </row>
    <row r="83" spans="1:3" ht="53.25" customHeight="1">
      <c r="A83" s="391"/>
      <c r="B83" s="940" t="s">
        <v>317</v>
      </c>
      <c r="C83" s="941"/>
    </row>
    <row r="84" spans="1:3">
      <c r="A84" s="391"/>
      <c r="B84" s="940" t="s">
        <v>305</v>
      </c>
      <c r="C84" s="941"/>
    </row>
    <row r="85" spans="1:3">
      <c r="A85" s="391"/>
      <c r="B85" s="940" t="s">
        <v>306</v>
      </c>
      <c r="C85" s="941"/>
    </row>
    <row r="86" spans="1:3">
      <c r="A86" s="391"/>
      <c r="B86" s="940" t="s">
        <v>307</v>
      </c>
      <c r="C86" s="941"/>
    </row>
    <row r="87" spans="1:3">
      <c r="A87" s="946" t="s">
        <v>308</v>
      </c>
      <c r="B87" s="947"/>
      <c r="C87" s="948"/>
    </row>
    <row r="88" spans="1:3">
      <c r="A88" s="391"/>
      <c r="B88" s="940" t="s">
        <v>240</v>
      </c>
      <c r="C88" s="941"/>
    </row>
    <row r="89" spans="1:3">
      <c r="A89" s="391"/>
      <c r="B89" s="940" t="s">
        <v>310</v>
      </c>
      <c r="C89" s="941"/>
    </row>
    <row r="90" spans="1:3" ht="12" customHeight="1">
      <c r="A90" s="391"/>
      <c r="B90" s="940" t="s">
        <v>311</v>
      </c>
      <c r="C90" s="941"/>
    </row>
    <row r="91" spans="1:3">
      <c r="A91" s="391"/>
      <c r="B91" s="940" t="s">
        <v>312</v>
      </c>
      <c r="C91" s="941"/>
    </row>
    <row r="92" spans="1:3" ht="24.75" customHeight="1">
      <c r="A92" s="391"/>
      <c r="B92" s="949" t="s">
        <v>348</v>
      </c>
      <c r="C92" s="950"/>
    </row>
    <row r="93" spans="1:3" ht="24" customHeight="1">
      <c r="A93" s="391"/>
      <c r="B93" s="949" t="s">
        <v>349</v>
      </c>
      <c r="C93" s="950"/>
    </row>
    <row r="94" spans="1:3" ht="13.5" customHeight="1">
      <c r="A94" s="391"/>
      <c r="B94" s="951" t="s">
        <v>313</v>
      </c>
      <c r="C94" s="952"/>
    </row>
    <row r="95" spans="1:3" ht="11.25" customHeight="1" thickBot="1">
      <c r="A95" s="953" t="s">
        <v>344</v>
      </c>
      <c r="B95" s="954"/>
      <c r="C95" s="955"/>
    </row>
    <row r="96" spans="1:3" ht="12.75" thickTop="1" thickBot="1">
      <c r="A96" s="945" t="s">
        <v>249</v>
      </c>
      <c r="B96" s="945"/>
      <c r="C96" s="945"/>
    </row>
    <row r="97" spans="1:3">
      <c r="A97" s="230">
        <v>2</v>
      </c>
      <c r="B97" s="376" t="s">
        <v>324</v>
      </c>
      <c r="C97" s="376" t="s">
        <v>345</v>
      </c>
    </row>
    <row r="98" spans="1:3">
      <c r="A98" s="161">
        <v>3</v>
      </c>
      <c r="B98" s="377" t="s">
        <v>325</v>
      </c>
      <c r="C98" s="378" t="s">
        <v>346</v>
      </c>
    </row>
    <row r="99" spans="1:3">
      <c r="A99" s="161">
        <v>4</v>
      </c>
      <c r="B99" s="377" t="s">
        <v>326</v>
      </c>
      <c r="C99" s="378" t="s">
        <v>350</v>
      </c>
    </row>
    <row r="100" spans="1:3" ht="11.25" customHeight="1">
      <c r="A100" s="161">
        <v>5</v>
      </c>
      <c r="B100" s="377" t="s">
        <v>327</v>
      </c>
      <c r="C100" s="378" t="s">
        <v>347</v>
      </c>
    </row>
    <row r="101" spans="1:3" ht="12" customHeight="1">
      <c r="A101" s="161">
        <v>6</v>
      </c>
      <c r="B101" s="377" t="s">
        <v>342</v>
      </c>
      <c r="C101" s="378" t="s">
        <v>328</v>
      </c>
    </row>
    <row r="102" spans="1:3" ht="12" customHeight="1">
      <c r="A102" s="161">
        <v>7</v>
      </c>
      <c r="B102" s="377" t="s">
        <v>329</v>
      </c>
      <c r="C102" s="378" t="s">
        <v>343</v>
      </c>
    </row>
    <row r="103" spans="1:3">
      <c r="A103" s="161">
        <v>8</v>
      </c>
      <c r="B103" s="377" t="s">
        <v>334</v>
      </c>
      <c r="C103" s="378" t="s">
        <v>354</v>
      </c>
    </row>
    <row r="104" spans="1:3" ht="11.25" customHeight="1">
      <c r="A104" s="946" t="s">
        <v>314</v>
      </c>
      <c r="B104" s="947"/>
      <c r="C104" s="948"/>
    </row>
    <row r="105" spans="1:3" ht="12" customHeight="1">
      <c r="A105" s="391"/>
      <c r="B105" s="940" t="s">
        <v>240</v>
      </c>
      <c r="C105" s="941"/>
    </row>
    <row r="106" spans="1:3">
      <c r="A106" s="946" t="s">
        <v>489</v>
      </c>
      <c r="B106" s="947"/>
      <c r="C106" s="948"/>
    </row>
    <row r="107" spans="1:3" ht="12" customHeight="1">
      <c r="A107" s="391"/>
      <c r="B107" s="940" t="s">
        <v>491</v>
      </c>
      <c r="C107" s="941"/>
    </row>
    <row r="108" spans="1:3">
      <c r="A108" s="391"/>
      <c r="B108" s="940" t="s">
        <v>492</v>
      </c>
      <c r="C108" s="941"/>
    </row>
    <row r="109" spans="1:3">
      <c r="A109" s="391"/>
      <c r="B109" s="940" t="s">
        <v>490</v>
      </c>
      <c r="C109" s="941"/>
    </row>
    <row r="110" spans="1:3">
      <c r="A110" s="937" t="s">
        <v>724</v>
      </c>
      <c r="B110" s="937"/>
      <c r="C110" s="937"/>
    </row>
    <row r="111" spans="1:3">
      <c r="A111" s="942" t="s">
        <v>187</v>
      </c>
      <c r="B111" s="942"/>
      <c r="C111" s="942"/>
    </row>
    <row r="112" spans="1:3">
      <c r="A112" s="598">
        <v>1</v>
      </c>
      <c r="B112" s="927" t="s">
        <v>607</v>
      </c>
      <c r="C112" s="928"/>
    </row>
    <row r="113" spans="1:3">
      <c r="A113" s="598">
        <v>2</v>
      </c>
      <c r="B113" s="943" t="s">
        <v>608</v>
      </c>
      <c r="C113" s="944"/>
    </row>
    <row r="114" spans="1:3">
      <c r="A114" s="598">
        <v>3</v>
      </c>
      <c r="B114" s="927" t="s">
        <v>934</v>
      </c>
      <c r="C114" s="928"/>
    </row>
    <row r="115" spans="1:3">
      <c r="A115" s="598">
        <v>4</v>
      </c>
      <c r="B115" s="927" t="s">
        <v>933</v>
      </c>
      <c r="C115" s="928"/>
    </row>
    <row r="116" spans="1:3">
      <c r="A116" s="598">
        <v>5</v>
      </c>
      <c r="B116" s="602" t="s">
        <v>932</v>
      </c>
      <c r="C116" s="601"/>
    </row>
    <row r="117" spans="1:3">
      <c r="A117" s="598">
        <v>6</v>
      </c>
      <c r="B117" s="927" t="s">
        <v>945</v>
      </c>
      <c r="C117" s="928"/>
    </row>
    <row r="118" spans="1:3" ht="48.6" customHeight="1">
      <c r="A118" s="598">
        <v>7</v>
      </c>
      <c r="B118" s="927" t="s">
        <v>946</v>
      </c>
      <c r="C118" s="928"/>
    </row>
    <row r="119" spans="1:3">
      <c r="A119" s="572">
        <v>8</v>
      </c>
      <c r="B119" s="569" t="s">
        <v>634</v>
      </c>
      <c r="C119" s="595" t="s">
        <v>931</v>
      </c>
    </row>
    <row r="120" spans="1:3" ht="22.5">
      <c r="A120" s="598">
        <v>9.01</v>
      </c>
      <c r="B120" s="569" t="s">
        <v>518</v>
      </c>
      <c r="C120" s="582" t="s">
        <v>683</v>
      </c>
    </row>
    <row r="121" spans="1:3" ht="33.75">
      <c r="A121" s="598">
        <v>9.02</v>
      </c>
      <c r="B121" s="569" t="s">
        <v>519</v>
      </c>
      <c r="C121" s="582" t="s">
        <v>686</v>
      </c>
    </row>
    <row r="122" spans="1:3">
      <c r="A122" s="598">
        <v>9.0299999999999994</v>
      </c>
      <c r="B122" s="585" t="s">
        <v>868</v>
      </c>
      <c r="C122" s="585" t="s">
        <v>609</v>
      </c>
    </row>
    <row r="123" spans="1:3">
      <c r="A123" s="598">
        <v>9.0399999999999991</v>
      </c>
      <c r="B123" s="569" t="s">
        <v>520</v>
      </c>
      <c r="C123" s="585" t="s">
        <v>610</v>
      </c>
    </row>
    <row r="124" spans="1:3">
      <c r="A124" s="598">
        <v>9.0500000000000007</v>
      </c>
      <c r="B124" s="569" t="s">
        <v>521</v>
      </c>
      <c r="C124" s="585" t="s">
        <v>611</v>
      </c>
    </row>
    <row r="125" spans="1:3" ht="22.5">
      <c r="A125" s="598">
        <v>9.06</v>
      </c>
      <c r="B125" s="569" t="s">
        <v>522</v>
      </c>
      <c r="C125" s="585" t="s">
        <v>612</v>
      </c>
    </row>
    <row r="126" spans="1:3">
      <c r="A126" s="598">
        <v>9.07</v>
      </c>
      <c r="B126" s="600" t="s">
        <v>523</v>
      </c>
      <c r="C126" s="585" t="s">
        <v>613</v>
      </c>
    </row>
    <row r="127" spans="1:3" ht="22.5">
      <c r="A127" s="598">
        <v>9.08</v>
      </c>
      <c r="B127" s="569" t="s">
        <v>524</v>
      </c>
      <c r="C127" s="585" t="s">
        <v>614</v>
      </c>
    </row>
    <row r="128" spans="1:3" ht="22.5">
      <c r="A128" s="598">
        <v>9.09</v>
      </c>
      <c r="B128" s="569" t="s">
        <v>525</v>
      </c>
      <c r="C128" s="585" t="s">
        <v>615</v>
      </c>
    </row>
    <row r="129" spans="1:3">
      <c r="A129" s="599">
        <v>9.1</v>
      </c>
      <c r="B129" s="569" t="s">
        <v>526</v>
      </c>
      <c r="C129" s="585" t="s">
        <v>616</v>
      </c>
    </row>
    <row r="130" spans="1:3">
      <c r="A130" s="598">
        <v>9.11</v>
      </c>
      <c r="B130" s="569" t="s">
        <v>527</v>
      </c>
      <c r="C130" s="585" t="s">
        <v>617</v>
      </c>
    </row>
    <row r="131" spans="1:3">
      <c r="A131" s="598">
        <v>9.1199999999999992</v>
      </c>
      <c r="B131" s="569" t="s">
        <v>528</v>
      </c>
      <c r="C131" s="585" t="s">
        <v>618</v>
      </c>
    </row>
    <row r="132" spans="1:3">
      <c r="A132" s="598">
        <v>9.1300000000000008</v>
      </c>
      <c r="B132" s="569" t="s">
        <v>529</v>
      </c>
      <c r="C132" s="585" t="s">
        <v>619</v>
      </c>
    </row>
    <row r="133" spans="1:3">
      <c r="A133" s="598">
        <v>9.14</v>
      </c>
      <c r="B133" s="569" t="s">
        <v>530</v>
      </c>
      <c r="C133" s="585" t="s">
        <v>620</v>
      </c>
    </row>
    <row r="134" spans="1:3">
      <c r="A134" s="598">
        <v>9.15</v>
      </c>
      <c r="B134" s="569" t="s">
        <v>531</v>
      </c>
      <c r="C134" s="585" t="s">
        <v>621</v>
      </c>
    </row>
    <row r="135" spans="1:3" ht="22.5">
      <c r="A135" s="598">
        <v>9.16</v>
      </c>
      <c r="B135" s="569" t="s">
        <v>532</v>
      </c>
      <c r="C135" s="585" t="s">
        <v>622</v>
      </c>
    </row>
    <row r="136" spans="1:3">
      <c r="A136" s="598">
        <v>9.17</v>
      </c>
      <c r="B136" s="585" t="s">
        <v>533</v>
      </c>
      <c r="C136" s="585" t="s">
        <v>623</v>
      </c>
    </row>
    <row r="137" spans="1:3" ht="22.5">
      <c r="A137" s="598">
        <v>9.18</v>
      </c>
      <c r="B137" s="569" t="s">
        <v>534</v>
      </c>
      <c r="C137" s="585" t="s">
        <v>624</v>
      </c>
    </row>
    <row r="138" spans="1:3">
      <c r="A138" s="598">
        <v>9.19</v>
      </c>
      <c r="B138" s="569" t="s">
        <v>535</v>
      </c>
      <c r="C138" s="585" t="s">
        <v>625</v>
      </c>
    </row>
    <row r="139" spans="1:3">
      <c r="A139" s="599">
        <v>9.1999999999999993</v>
      </c>
      <c r="B139" s="569" t="s">
        <v>536</v>
      </c>
      <c r="C139" s="585" t="s">
        <v>626</v>
      </c>
    </row>
    <row r="140" spans="1:3">
      <c r="A140" s="598">
        <v>9.2100000000000009</v>
      </c>
      <c r="B140" s="569" t="s">
        <v>537</v>
      </c>
      <c r="C140" s="585" t="s">
        <v>627</v>
      </c>
    </row>
    <row r="141" spans="1:3">
      <c r="A141" s="598">
        <v>9.2200000000000006</v>
      </c>
      <c r="B141" s="569" t="s">
        <v>538</v>
      </c>
      <c r="C141" s="585" t="s">
        <v>628</v>
      </c>
    </row>
    <row r="142" spans="1:3" ht="22.5">
      <c r="A142" s="598">
        <v>9.23</v>
      </c>
      <c r="B142" s="569" t="s">
        <v>539</v>
      </c>
      <c r="C142" s="585" t="s">
        <v>629</v>
      </c>
    </row>
    <row r="143" spans="1:3" ht="22.5">
      <c r="A143" s="598">
        <v>9.24</v>
      </c>
      <c r="B143" s="569" t="s">
        <v>540</v>
      </c>
      <c r="C143" s="585" t="s">
        <v>630</v>
      </c>
    </row>
    <row r="144" spans="1:3">
      <c r="A144" s="598">
        <v>9.2500000000000107</v>
      </c>
      <c r="B144" s="569" t="s">
        <v>541</v>
      </c>
      <c r="C144" s="585" t="s">
        <v>631</v>
      </c>
    </row>
    <row r="145" spans="1:3" ht="22.5">
      <c r="A145" s="598">
        <v>9.2600000000000193</v>
      </c>
      <c r="B145" s="569" t="s">
        <v>632</v>
      </c>
      <c r="C145" s="597" t="s">
        <v>633</v>
      </c>
    </row>
    <row r="146" spans="1:3" s="392" customFormat="1" ht="22.5">
      <c r="A146" s="598">
        <v>9.2700000000000298</v>
      </c>
      <c r="B146" s="569" t="s">
        <v>99</v>
      </c>
      <c r="C146" s="597" t="s">
        <v>684</v>
      </c>
    </row>
    <row r="147" spans="1:3" s="392" customFormat="1">
      <c r="A147" s="573"/>
      <c r="B147" s="923" t="s">
        <v>635</v>
      </c>
      <c r="C147" s="924"/>
    </row>
    <row r="148" spans="1:3" s="392" customFormat="1">
      <c r="A148" s="572">
        <v>1</v>
      </c>
      <c r="B148" s="929" t="s">
        <v>930</v>
      </c>
      <c r="C148" s="930"/>
    </row>
    <row r="149" spans="1:3" s="392" customFormat="1">
      <c r="A149" s="572">
        <v>2</v>
      </c>
      <c r="B149" s="929" t="s">
        <v>685</v>
      </c>
      <c r="C149" s="930"/>
    </row>
    <row r="150" spans="1:3" s="392" customFormat="1">
      <c r="A150" s="572">
        <v>3</v>
      </c>
      <c r="B150" s="929" t="s">
        <v>682</v>
      </c>
      <c r="C150" s="930"/>
    </row>
    <row r="151" spans="1:3" s="392" customFormat="1">
      <c r="A151" s="573"/>
      <c r="B151" s="923" t="s">
        <v>636</v>
      </c>
      <c r="C151" s="924"/>
    </row>
    <row r="152" spans="1:3" s="392" customFormat="1">
      <c r="A152" s="572">
        <v>1</v>
      </c>
      <c r="B152" s="931" t="s">
        <v>929</v>
      </c>
      <c r="C152" s="932"/>
    </row>
    <row r="153" spans="1:3" s="392" customFormat="1">
      <c r="A153" s="572">
        <v>2</v>
      </c>
      <c r="B153" s="569" t="s">
        <v>866</v>
      </c>
      <c r="C153" s="595" t="s">
        <v>950</v>
      </c>
    </row>
    <row r="154" spans="1:3" ht="22.5">
      <c r="A154" s="572">
        <v>3</v>
      </c>
      <c r="B154" s="569" t="s">
        <v>865</v>
      </c>
      <c r="C154" s="595" t="s">
        <v>928</v>
      </c>
    </row>
    <row r="155" spans="1:3">
      <c r="A155" s="572">
        <v>4</v>
      </c>
      <c r="B155" s="569" t="s">
        <v>511</v>
      </c>
      <c r="C155" s="569" t="s">
        <v>951</v>
      </c>
    </row>
    <row r="156" spans="1:3" ht="25.35" customHeight="1">
      <c r="A156" s="573"/>
      <c r="B156" s="923" t="s">
        <v>637</v>
      </c>
      <c r="C156" s="924"/>
    </row>
    <row r="157" spans="1:3" ht="33.75">
      <c r="A157" s="572"/>
      <c r="B157" s="569" t="s">
        <v>917</v>
      </c>
      <c r="C157" s="574" t="s">
        <v>952</v>
      </c>
    </row>
    <row r="158" spans="1:3">
      <c r="A158" s="573"/>
      <c r="B158" s="923" t="s">
        <v>638</v>
      </c>
      <c r="C158" s="924"/>
    </row>
    <row r="159" spans="1:3" ht="39" customHeight="1">
      <c r="A159" s="573"/>
      <c r="B159" s="925" t="s">
        <v>927</v>
      </c>
      <c r="C159" s="926"/>
    </row>
    <row r="160" spans="1:3">
      <c r="A160" s="573" t="s">
        <v>639</v>
      </c>
      <c r="B160" s="596" t="s">
        <v>549</v>
      </c>
      <c r="C160" s="587" t="s">
        <v>640</v>
      </c>
    </row>
    <row r="161" spans="1:3">
      <c r="A161" s="573" t="s">
        <v>369</v>
      </c>
      <c r="B161" s="593" t="s">
        <v>550</v>
      </c>
      <c r="C161" s="595" t="s">
        <v>926</v>
      </c>
    </row>
    <row r="162" spans="1:3" ht="22.5">
      <c r="A162" s="573" t="s">
        <v>376</v>
      </c>
      <c r="B162" s="587" t="s">
        <v>551</v>
      </c>
      <c r="C162" s="595" t="s">
        <v>641</v>
      </c>
    </row>
    <row r="163" spans="1:3">
      <c r="A163" s="573" t="s">
        <v>642</v>
      </c>
      <c r="B163" s="593" t="s">
        <v>552</v>
      </c>
      <c r="C163" s="594" t="s">
        <v>643</v>
      </c>
    </row>
    <row r="164" spans="1:3" ht="22.5">
      <c r="A164" s="573" t="s">
        <v>644</v>
      </c>
      <c r="B164" s="593" t="s">
        <v>881</v>
      </c>
      <c r="C164" s="592" t="s">
        <v>925</v>
      </c>
    </row>
    <row r="165" spans="1:3" ht="22.5">
      <c r="A165" s="573" t="s">
        <v>377</v>
      </c>
      <c r="B165" s="593" t="s">
        <v>553</v>
      </c>
      <c r="C165" s="592" t="s">
        <v>646</v>
      </c>
    </row>
    <row r="166" spans="1:3" ht="22.5">
      <c r="A166" s="573" t="s">
        <v>645</v>
      </c>
      <c r="B166" s="590" t="s">
        <v>556</v>
      </c>
      <c r="C166" s="591" t="s">
        <v>653</v>
      </c>
    </row>
    <row r="167" spans="1:3" ht="22.5">
      <c r="A167" s="573" t="s">
        <v>647</v>
      </c>
      <c r="B167" s="590" t="s">
        <v>554</v>
      </c>
      <c r="C167" s="592" t="s">
        <v>649</v>
      </c>
    </row>
    <row r="168" spans="1:3" ht="26.85" customHeight="1">
      <c r="A168" s="573" t="s">
        <v>648</v>
      </c>
      <c r="B168" s="590" t="s">
        <v>555</v>
      </c>
      <c r="C168" s="591" t="s">
        <v>651</v>
      </c>
    </row>
    <row r="169" spans="1:3" ht="22.5">
      <c r="A169" s="573" t="s">
        <v>650</v>
      </c>
      <c r="B169" s="567" t="s">
        <v>557</v>
      </c>
      <c r="C169" s="591" t="s">
        <v>655</v>
      </c>
    </row>
    <row r="170" spans="1:3" ht="22.5">
      <c r="A170" s="573" t="s">
        <v>652</v>
      </c>
      <c r="B170" s="590" t="s">
        <v>558</v>
      </c>
      <c r="C170" s="589" t="s">
        <v>656</v>
      </c>
    </row>
    <row r="171" spans="1:3">
      <c r="A171" s="573" t="s">
        <v>654</v>
      </c>
      <c r="B171" s="588" t="s">
        <v>559</v>
      </c>
      <c r="C171" s="587" t="s">
        <v>657</v>
      </c>
    </row>
    <row r="172" spans="1:3" ht="22.5">
      <c r="A172" s="573"/>
      <c r="B172" s="586" t="s">
        <v>924</v>
      </c>
      <c r="C172" s="585" t="s">
        <v>658</v>
      </c>
    </row>
    <row r="173" spans="1:3" ht="22.5">
      <c r="A173" s="573"/>
      <c r="B173" s="586" t="s">
        <v>923</v>
      </c>
      <c r="C173" s="585" t="s">
        <v>659</v>
      </c>
    </row>
    <row r="174" spans="1:3" ht="22.5">
      <c r="A174" s="573"/>
      <c r="B174" s="586" t="s">
        <v>922</v>
      </c>
      <c r="C174" s="585" t="s">
        <v>660</v>
      </c>
    </row>
    <row r="175" spans="1:3">
      <c r="A175" s="573"/>
      <c r="B175" s="923" t="s">
        <v>661</v>
      </c>
      <c r="C175" s="924"/>
    </row>
    <row r="176" spans="1:3">
      <c r="A176" s="573"/>
      <c r="B176" s="929" t="s">
        <v>921</v>
      </c>
      <c r="C176" s="930"/>
    </row>
    <row r="177" spans="1:3">
      <c r="A177" s="572">
        <v>1</v>
      </c>
      <c r="B177" s="585" t="s">
        <v>563</v>
      </c>
      <c r="C177" s="585" t="s">
        <v>563</v>
      </c>
    </row>
    <row r="178" spans="1:3" ht="33.75">
      <c r="A178" s="572">
        <v>2</v>
      </c>
      <c r="B178" s="585" t="s">
        <v>662</v>
      </c>
      <c r="C178" s="585" t="s">
        <v>663</v>
      </c>
    </row>
    <row r="179" spans="1:3">
      <c r="A179" s="572">
        <v>3</v>
      </c>
      <c r="B179" s="585" t="s">
        <v>565</v>
      </c>
      <c r="C179" s="585" t="s">
        <v>664</v>
      </c>
    </row>
    <row r="180" spans="1:3" ht="22.5">
      <c r="A180" s="572">
        <v>4</v>
      </c>
      <c r="B180" s="585" t="s">
        <v>566</v>
      </c>
      <c r="C180" s="585" t="s">
        <v>665</v>
      </c>
    </row>
    <row r="181" spans="1:3" ht="22.5">
      <c r="A181" s="572">
        <v>5</v>
      </c>
      <c r="B181" s="585" t="s">
        <v>567</v>
      </c>
      <c r="C181" s="585" t="s">
        <v>687</v>
      </c>
    </row>
    <row r="182" spans="1:3" ht="45">
      <c r="A182" s="572">
        <v>6</v>
      </c>
      <c r="B182" s="585" t="s">
        <v>568</v>
      </c>
      <c r="C182" s="585" t="s">
        <v>666</v>
      </c>
    </row>
    <row r="183" spans="1:3">
      <c r="A183" s="573"/>
      <c r="B183" s="923" t="s">
        <v>667</v>
      </c>
      <c r="C183" s="924"/>
    </row>
    <row r="184" spans="1:3">
      <c r="A184" s="573"/>
      <c r="B184" s="934" t="s">
        <v>920</v>
      </c>
      <c r="C184" s="935"/>
    </row>
    <row r="185" spans="1:3" ht="22.5">
      <c r="A185" s="573">
        <v>1.1000000000000001</v>
      </c>
      <c r="B185" s="584" t="s">
        <v>573</v>
      </c>
      <c r="C185" s="582" t="s">
        <v>668</v>
      </c>
    </row>
    <row r="186" spans="1:3" ht="50.1" customHeight="1">
      <c r="A186" s="573" t="s">
        <v>157</v>
      </c>
      <c r="B186" s="568" t="s">
        <v>574</v>
      </c>
      <c r="C186" s="582" t="s">
        <v>669</v>
      </c>
    </row>
    <row r="187" spans="1:3">
      <c r="A187" s="573" t="s">
        <v>575</v>
      </c>
      <c r="B187" s="583" t="s">
        <v>576</v>
      </c>
      <c r="C187" s="936" t="s">
        <v>919</v>
      </c>
    </row>
    <row r="188" spans="1:3">
      <c r="A188" s="573" t="s">
        <v>577</v>
      </c>
      <c r="B188" s="583" t="s">
        <v>578</v>
      </c>
      <c r="C188" s="936"/>
    </row>
    <row r="189" spans="1:3">
      <c r="A189" s="573" t="s">
        <v>579</v>
      </c>
      <c r="B189" s="583" t="s">
        <v>580</v>
      </c>
      <c r="C189" s="936"/>
    </row>
    <row r="190" spans="1:3">
      <c r="A190" s="573" t="s">
        <v>581</v>
      </c>
      <c r="B190" s="583" t="s">
        <v>582</v>
      </c>
      <c r="C190" s="936"/>
    </row>
    <row r="191" spans="1:3" ht="25.5" customHeight="1">
      <c r="A191" s="573">
        <v>1.2</v>
      </c>
      <c r="B191" s="581" t="s">
        <v>895</v>
      </c>
      <c r="C191" s="566" t="s">
        <v>953</v>
      </c>
    </row>
    <row r="192" spans="1:3" ht="22.5">
      <c r="A192" s="573" t="s">
        <v>584</v>
      </c>
      <c r="B192" s="576" t="s">
        <v>585</v>
      </c>
      <c r="C192" s="579" t="s">
        <v>670</v>
      </c>
    </row>
    <row r="193" spans="1:4" ht="22.5">
      <c r="A193" s="573" t="s">
        <v>586</v>
      </c>
      <c r="B193" s="580" t="s">
        <v>587</v>
      </c>
      <c r="C193" s="579" t="s">
        <v>671</v>
      </c>
    </row>
    <row r="194" spans="1:4" ht="26.1" customHeight="1">
      <c r="A194" s="573" t="s">
        <v>588</v>
      </c>
      <c r="B194" s="578" t="s">
        <v>589</v>
      </c>
      <c r="C194" s="566" t="s">
        <v>672</v>
      </c>
    </row>
    <row r="195" spans="1:4" ht="22.5">
      <c r="A195" s="573" t="s">
        <v>590</v>
      </c>
      <c r="B195" s="577" t="s">
        <v>591</v>
      </c>
      <c r="C195" s="566" t="s">
        <v>673</v>
      </c>
      <c r="D195" s="393"/>
    </row>
    <row r="196" spans="1:4" ht="22.5">
      <c r="A196" s="573">
        <v>1.4</v>
      </c>
      <c r="B196" s="576" t="s">
        <v>680</v>
      </c>
      <c r="C196" s="575" t="s">
        <v>674</v>
      </c>
      <c r="D196" s="394"/>
    </row>
    <row r="197" spans="1:4" ht="12.75">
      <c r="A197" s="573">
        <v>1.5</v>
      </c>
      <c r="B197" s="576" t="s">
        <v>681</v>
      </c>
      <c r="C197" s="575" t="s">
        <v>674</v>
      </c>
      <c r="D197" s="395"/>
    </row>
    <row r="198" spans="1:4" ht="12.75">
      <c r="A198" s="573"/>
      <c r="B198" s="937" t="s">
        <v>675</v>
      </c>
      <c r="C198" s="937"/>
      <c r="D198" s="395"/>
    </row>
    <row r="199" spans="1:4" ht="12.75">
      <c r="A199" s="573"/>
      <c r="B199" s="934" t="s">
        <v>918</v>
      </c>
      <c r="C199" s="934"/>
      <c r="D199" s="395"/>
    </row>
    <row r="200" spans="1:4" ht="12.75">
      <c r="A200" s="572"/>
      <c r="B200" s="569" t="s">
        <v>917</v>
      </c>
      <c r="C200" s="574" t="s">
        <v>950</v>
      </c>
      <c r="D200" s="395"/>
    </row>
    <row r="201" spans="1:4" ht="12.75">
      <c r="A201" s="573"/>
      <c r="B201" s="937" t="s">
        <v>676</v>
      </c>
      <c r="C201" s="937"/>
      <c r="D201" s="396"/>
    </row>
    <row r="202" spans="1:4" ht="12.75">
      <c r="A202" s="572"/>
      <c r="B202" s="938" t="s">
        <v>916</v>
      </c>
      <c r="C202" s="938"/>
      <c r="D202" s="397"/>
    </row>
    <row r="203" spans="1:4" ht="12.75">
      <c r="B203" s="937" t="s">
        <v>714</v>
      </c>
      <c r="C203" s="937"/>
      <c r="D203" s="398"/>
    </row>
    <row r="204" spans="1:4" ht="22.5">
      <c r="A204" s="568">
        <v>1</v>
      </c>
      <c r="B204" s="569" t="s">
        <v>690</v>
      </c>
      <c r="C204" s="566" t="s">
        <v>702</v>
      </c>
      <c r="D204" s="397"/>
    </row>
    <row r="205" spans="1:4" ht="18" customHeight="1">
      <c r="A205" s="568">
        <v>2</v>
      </c>
      <c r="B205" s="569" t="s">
        <v>691</v>
      </c>
      <c r="C205" s="566" t="s">
        <v>703</v>
      </c>
      <c r="D205" s="398"/>
    </row>
    <row r="206" spans="1:4" ht="22.5">
      <c r="A206" s="568">
        <v>3</v>
      </c>
      <c r="B206" s="569" t="s">
        <v>692</v>
      </c>
      <c r="C206" s="569" t="s">
        <v>704</v>
      </c>
      <c r="D206" s="399"/>
    </row>
    <row r="207" spans="1:4" ht="12.75">
      <c r="A207" s="568">
        <v>4</v>
      </c>
      <c r="B207" s="569" t="s">
        <v>693</v>
      </c>
      <c r="C207" s="569" t="s">
        <v>705</v>
      </c>
      <c r="D207" s="399"/>
    </row>
    <row r="208" spans="1:4" ht="22.5">
      <c r="A208" s="568">
        <v>5</v>
      </c>
      <c r="B208" s="569" t="s">
        <v>694</v>
      </c>
      <c r="C208" s="569" t="s">
        <v>706</v>
      </c>
    </row>
    <row r="209" spans="1:3" ht="24.6" customHeight="1">
      <c r="A209" s="568">
        <v>6</v>
      </c>
      <c r="B209" s="569" t="s">
        <v>695</v>
      </c>
      <c r="C209" s="569" t="s">
        <v>707</v>
      </c>
    </row>
    <row r="210" spans="1:3" ht="22.5">
      <c r="A210" s="568">
        <v>7</v>
      </c>
      <c r="B210" s="569" t="s">
        <v>696</v>
      </c>
      <c r="C210" s="569" t="s">
        <v>708</v>
      </c>
    </row>
    <row r="211" spans="1:3">
      <c r="A211" s="568">
        <v>7.1</v>
      </c>
      <c r="B211" s="571" t="s">
        <v>697</v>
      </c>
      <c r="C211" s="569" t="s">
        <v>709</v>
      </c>
    </row>
    <row r="212" spans="1:3" ht="22.5">
      <c r="A212" s="568">
        <v>7.2</v>
      </c>
      <c r="B212" s="571" t="s">
        <v>698</v>
      </c>
      <c r="C212" s="569" t="s">
        <v>710</v>
      </c>
    </row>
    <row r="213" spans="1:3">
      <c r="A213" s="568">
        <v>7.3</v>
      </c>
      <c r="B213" s="570" t="s">
        <v>699</v>
      </c>
      <c r="C213" s="569" t="s">
        <v>711</v>
      </c>
    </row>
    <row r="214" spans="1:3" ht="39.6" customHeight="1">
      <c r="A214" s="568">
        <v>8</v>
      </c>
      <c r="B214" s="569" t="s">
        <v>700</v>
      </c>
      <c r="C214" s="566" t="s">
        <v>712</v>
      </c>
    </row>
    <row r="215" spans="1:3">
      <c r="A215" s="568">
        <v>9</v>
      </c>
      <c r="B215" s="569" t="s">
        <v>701</v>
      </c>
      <c r="C215" s="566" t="s">
        <v>713</v>
      </c>
    </row>
    <row r="216" spans="1:3" ht="22.5">
      <c r="A216" s="611">
        <v>10.1</v>
      </c>
      <c r="B216" s="612" t="s">
        <v>721</v>
      </c>
      <c r="C216" s="603" t="s">
        <v>722</v>
      </c>
    </row>
    <row r="217" spans="1:3">
      <c r="A217" s="939"/>
      <c r="B217" s="613" t="s">
        <v>908</v>
      </c>
      <c r="C217" s="566" t="s">
        <v>915</v>
      </c>
    </row>
    <row r="218" spans="1:3">
      <c r="A218" s="939"/>
      <c r="B218" s="567" t="s">
        <v>572</v>
      </c>
      <c r="C218" s="566" t="s">
        <v>914</v>
      </c>
    </row>
    <row r="219" spans="1:3">
      <c r="A219" s="939"/>
      <c r="B219" s="567" t="s">
        <v>907</v>
      </c>
      <c r="C219" s="566" t="s">
        <v>954</v>
      </c>
    </row>
    <row r="220" spans="1:3">
      <c r="A220" s="939"/>
      <c r="B220" s="567" t="s">
        <v>715</v>
      </c>
      <c r="C220" s="566" t="s">
        <v>913</v>
      </c>
    </row>
    <row r="221" spans="1:3" ht="22.5">
      <c r="A221" s="939"/>
      <c r="B221" s="567" t="s">
        <v>719</v>
      </c>
      <c r="C221" s="582" t="s">
        <v>912</v>
      </c>
    </row>
    <row r="222" spans="1:3" ht="33.75">
      <c r="A222" s="939"/>
      <c r="B222" s="567" t="s">
        <v>718</v>
      </c>
      <c r="C222" s="566" t="s">
        <v>911</v>
      </c>
    </row>
    <row r="223" spans="1:3">
      <c r="A223" s="939"/>
      <c r="B223" s="567" t="s">
        <v>955</v>
      </c>
      <c r="C223" s="566" t="s">
        <v>910</v>
      </c>
    </row>
    <row r="224" spans="1:3" ht="22.5">
      <c r="A224" s="939"/>
      <c r="B224" s="567" t="s">
        <v>956</v>
      </c>
      <c r="C224" s="566" t="s">
        <v>909</v>
      </c>
    </row>
    <row r="225" spans="1:3" ht="12.75">
      <c r="A225" s="604"/>
      <c r="B225" s="605"/>
      <c r="C225" s="606"/>
    </row>
    <row r="226" spans="1:3" ht="12.75">
      <c r="A226" s="604"/>
      <c r="B226" s="606"/>
      <c r="C226" s="607"/>
    </row>
    <row r="227" spans="1:3" ht="12.75">
      <c r="A227" s="604"/>
      <c r="B227" s="606"/>
      <c r="C227" s="607"/>
    </row>
    <row r="228" spans="1:3" ht="12.75">
      <c r="A228" s="604"/>
      <c r="B228" s="608"/>
      <c r="C228" s="607"/>
    </row>
    <row r="229" spans="1:3" ht="12.75">
      <c r="A229" s="933"/>
      <c r="B229" s="609"/>
      <c r="C229" s="607"/>
    </row>
    <row r="230" spans="1:3" ht="12.75">
      <c r="A230" s="933"/>
      <c r="B230" s="609"/>
      <c r="C230" s="607"/>
    </row>
    <row r="231" spans="1:3" ht="12.75">
      <c r="A231" s="933"/>
      <c r="B231" s="609"/>
      <c r="C231" s="607"/>
    </row>
    <row r="232" spans="1:3" ht="12.75">
      <c r="A232" s="933"/>
      <c r="B232" s="609"/>
      <c r="C232" s="610"/>
    </row>
    <row r="233" spans="1:3" ht="40.5" customHeight="1">
      <c r="A233" s="933"/>
      <c r="B233" s="609"/>
      <c r="C233" s="607"/>
    </row>
    <row r="234" spans="1:3" ht="24" customHeight="1">
      <c r="A234" s="933"/>
      <c r="B234" s="609"/>
      <c r="C234" s="607"/>
    </row>
    <row r="235" spans="1:3" ht="12.75">
      <c r="A235" s="933"/>
      <c r="B235" s="609"/>
      <c r="C235" s="607"/>
    </row>
  </sheetData>
  <mergeCells count="131">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8:C68"/>
    <mergeCell ref="B69:C69"/>
    <mergeCell ref="B70:C70"/>
    <mergeCell ref="B71:C71"/>
    <mergeCell ref="B60:C60"/>
    <mergeCell ref="B61:C61"/>
    <mergeCell ref="B62:C62"/>
    <mergeCell ref="B63:C63"/>
    <mergeCell ref="A64:C64"/>
    <mergeCell ref="B65:C65"/>
    <mergeCell ref="B78:C78"/>
    <mergeCell ref="A79:C79"/>
    <mergeCell ref="B80:C80"/>
    <mergeCell ref="B81:C81"/>
    <mergeCell ref="B82:C82"/>
    <mergeCell ref="B83:C83"/>
    <mergeCell ref="B72:C72"/>
    <mergeCell ref="B73:C73"/>
    <mergeCell ref="B74:C74"/>
    <mergeCell ref="A75:C75"/>
    <mergeCell ref="B76:C76"/>
    <mergeCell ref="B77:C77"/>
    <mergeCell ref="B90:C90"/>
    <mergeCell ref="B91:C91"/>
    <mergeCell ref="B92:C92"/>
    <mergeCell ref="B93:C93"/>
    <mergeCell ref="B94:C94"/>
    <mergeCell ref="A95:C95"/>
    <mergeCell ref="B84:C84"/>
    <mergeCell ref="B85:C85"/>
    <mergeCell ref="B86:C86"/>
    <mergeCell ref="A87:C87"/>
    <mergeCell ref="B88:C88"/>
    <mergeCell ref="B89:C89"/>
    <mergeCell ref="B109:C109"/>
    <mergeCell ref="A110:C110"/>
    <mergeCell ref="A111:C111"/>
    <mergeCell ref="B112:C112"/>
    <mergeCell ref="B113:C113"/>
    <mergeCell ref="B114:C114"/>
    <mergeCell ref="A96:C96"/>
    <mergeCell ref="A104:C104"/>
    <mergeCell ref="B105:C105"/>
    <mergeCell ref="A106:C106"/>
    <mergeCell ref="B107:C107"/>
    <mergeCell ref="B108:C108"/>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56:C156"/>
    <mergeCell ref="B158:C158"/>
    <mergeCell ref="B159:C159"/>
    <mergeCell ref="B115:C115"/>
    <mergeCell ref="B117:C117"/>
    <mergeCell ref="B118:C118"/>
    <mergeCell ref="B147:C147"/>
    <mergeCell ref="B148:C148"/>
    <mergeCell ref="B149:C149"/>
    <mergeCell ref="B150:C150"/>
    <mergeCell ref="B151:C151"/>
    <mergeCell ref="B152:C15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68"/>
  <sheetViews>
    <sheetView topLeftCell="A40" zoomScale="80" zoomScaleNormal="80" workbookViewId="0">
      <selection activeCell="C6" sqref="C6:H45"/>
    </sheetView>
  </sheetViews>
  <sheetFormatPr defaultRowHeight="15"/>
  <cols>
    <col min="2" max="2" width="66.7109375" customWidth="1"/>
    <col min="3" max="8" width="17.7109375" customWidth="1"/>
  </cols>
  <sheetData>
    <row r="1" spans="1:8" ht="15.75">
      <c r="A1" s="17" t="s">
        <v>108</v>
      </c>
      <c r="B1" s="306" t="str">
        <f>Info!C2</f>
        <v>JSC "VTB Bank (Georgia)"</v>
      </c>
      <c r="C1" s="16"/>
      <c r="D1" s="227"/>
      <c r="E1" s="227"/>
      <c r="F1" s="227"/>
      <c r="G1" s="227"/>
    </row>
    <row r="2" spans="1:8" ht="15.75">
      <c r="A2" s="17" t="s">
        <v>109</v>
      </c>
      <c r="B2" s="337">
        <f>Info!D2</f>
        <v>45657</v>
      </c>
      <c r="C2" s="29"/>
      <c r="D2" s="18"/>
      <c r="E2" s="18"/>
      <c r="F2" s="18"/>
      <c r="G2" s="18"/>
      <c r="H2" s="1"/>
    </row>
    <row r="3" spans="1:8" ht="15.75">
      <c r="A3" s="17"/>
      <c r="B3" s="16"/>
      <c r="C3" s="29"/>
      <c r="D3" s="18"/>
      <c r="E3" s="18"/>
      <c r="F3" s="18"/>
      <c r="G3" s="18"/>
      <c r="H3" s="1"/>
    </row>
    <row r="4" spans="1:8">
      <c r="A4" s="819" t="s">
        <v>25</v>
      </c>
      <c r="B4" s="817" t="s">
        <v>166</v>
      </c>
      <c r="C4" s="812" t="s">
        <v>114</v>
      </c>
      <c r="D4" s="812"/>
      <c r="E4" s="812"/>
      <c r="F4" s="812" t="s">
        <v>115</v>
      </c>
      <c r="G4" s="812"/>
      <c r="H4" s="813"/>
    </row>
    <row r="5" spans="1:8" ht="15.6" customHeight="1">
      <c r="A5" s="820"/>
      <c r="B5" s="818"/>
      <c r="C5" s="431" t="s">
        <v>26</v>
      </c>
      <c r="D5" s="431" t="s">
        <v>88</v>
      </c>
      <c r="E5" s="431" t="s">
        <v>66</v>
      </c>
      <c r="F5" s="431" t="s">
        <v>26</v>
      </c>
      <c r="G5" s="431" t="s">
        <v>88</v>
      </c>
      <c r="H5" s="431" t="s">
        <v>66</v>
      </c>
    </row>
    <row r="6" spans="1:8">
      <c r="A6" s="458">
        <v>1</v>
      </c>
      <c r="B6" s="432" t="s">
        <v>776</v>
      </c>
      <c r="C6" s="696">
        <v>9813303</v>
      </c>
      <c r="D6" s="696">
        <v>6988931.119008786</v>
      </c>
      <c r="E6" s="675">
        <f>C6+D6</f>
        <v>16802234.119008787</v>
      </c>
      <c r="F6" s="696">
        <v>14236560.765820511</v>
      </c>
      <c r="G6" s="696">
        <v>7550404.8610394569</v>
      </c>
      <c r="H6" s="675">
        <f>F6+G6</f>
        <v>21786965.626859967</v>
      </c>
    </row>
    <row r="7" spans="1:8">
      <c r="A7" s="458">
        <v>1.1000000000000001</v>
      </c>
      <c r="B7" s="433" t="s">
        <v>730</v>
      </c>
      <c r="C7" s="696"/>
      <c r="D7" s="696"/>
      <c r="E7" s="675">
        <f t="shared" ref="E7:E45" si="0">C7+D7</f>
        <v>0</v>
      </c>
      <c r="F7" s="696"/>
      <c r="G7" s="696"/>
      <c r="H7" s="675">
        <f t="shared" ref="H7:H45" si="1">F7+G7</f>
        <v>0</v>
      </c>
    </row>
    <row r="8" spans="1:8" ht="21">
      <c r="A8" s="458">
        <v>1.2</v>
      </c>
      <c r="B8" s="433" t="s">
        <v>777</v>
      </c>
      <c r="C8" s="696">
        <v>0</v>
      </c>
      <c r="D8" s="696"/>
      <c r="E8" s="675">
        <f t="shared" si="0"/>
        <v>0</v>
      </c>
      <c r="F8" s="696"/>
      <c r="G8" s="696"/>
      <c r="H8" s="675">
        <f t="shared" si="1"/>
        <v>0</v>
      </c>
    </row>
    <row r="9" spans="1:8" ht="21.6" customHeight="1">
      <c r="A9" s="458">
        <v>1.3</v>
      </c>
      <c r="B9" s="427" t="s">
        <v>778</v>
      </c>
      <c r="C9" s="696"/>
      <c r="D9" s="696"/>
      <c r="E9" s="675">
        <f t="shared" si="0"/>
        <v>0</v>
      </c>
      <c r="F9" s="696"/>
      <c r="G9" s="696"/>
      <c r="H9" s="675">
        <f t="shared" si="1"/>
        <v>0</v>
      </c>
    </row>
    <row r="10" spans="1:8" ht="21">
      <c r="A10" s="458">
        <v>1.4</v>
      </c>
      <c r="B10" s="427" t="s">
        <v>734</v>
      </c>
      <c r="C10" s="696"/>
      <c r="D10" s="696"/>
      <c r="E10" s="675">
        <f t="shared" si="0"/>
        <v>0</v>
      </c>
      <c r="F10" s="696"/>
      <c r="G10" s="696"/>
      <c r="H10" s="675">
        <f t="shared" si="1"/>
        <v>0</v>
      </c>
    </row>
    <row r="11" spans="1:8">
      <c r="A11" s="458">
        <v>1.5</v>
      </c>
      <c r="B11" s="427" t="s">
        <v>737</v>
      </c>
      <c r="C11" s="696">
        <v>9813303</v>
      </c>
      <c r="D11" s="696">
        <v>6988931.119008786</v>
      </c>
      <c r="E11" s="675">
        <f t="shared" si="0"/>
        <v>16802234.119008787</v>
      </c>
      <c r="F11" s="696">
        <v>14064124.335820511</v>
      </c>
      <c r="G11" s="696">
        <v>7550404.8610394569</v>
      </c>
      <c r="H11" s="675">
        <f t="shared" si="1"/>
        <v>21614529.196859967</v>
      </c>
    </row>
    <row r="12" spans="1:8">
      <c r="A12" s="458">
        <v>1.6</v>
      </c>
      <c r="B12" s="434" t="s">
        <v>99</v>
      </c>
      <c r="C12" s="696"/>
      <c r="D12" s="696"/>
      <c r="E12" s="675">
        <f t="shared" si="0"/>
        <v>0</v>
      </c>
      <c r="F12" s="696"/>
      <c r="G12" s="696"/>
      <c r="H12" s="675">
        <f t="shared" si="1"/>
        <v>0</v>
      </c>
    </row>
    <row r="13" spans="1:8">
      <c r="A13" s="458">
        <v>2</v>
      </c>
      <c r="B13" s="435" t="s">
        <v>779</v>
      </c>
      <c r="C13" s="696">
        <v>-1104016.07</v>
      </c>
      <c r="D13" s="696">
        <v>-8148111.2199999997</v>
      </c>
      <c r="E13" s="675">
        <f t="shared" si="0"/>
        <v>-9252127.2899999991</v>
      </c>
      <c r="F13" s="696">
        <v>-1568357.0910999998</v>
      </c>
      <c r="G13" s="696">
        <v>-8670600.9900000002</v>
      </c>
      <c r="H13" s="675">
        <f t="shared" si="1"/>
        <v>-10238958.0811</v>
      </c>
    </row>
    <row r="14" spans="1:8">
      <c r="A14" s="458">
        <v>2.1</v>
      </c>
      <c r="B14" s="427" t="s">
        <v>780</v>
      </c>
      <c r="C14" s="696"/>
      <c r="D14" s="696"/>
      <c r="E14" s="675">
        <f t="shared" si="0"/>
        <v>0</v>
      </c>
      <c r="F14" s="696"/>
      <c r="G14" s="696"/>
      <c r="H14" s="675">
        <f t="shared" si="1"/>
        <v>0</v>
      </c>
    </row>
    <row r="15" spans="1:8" ht="24.6" customHeight="1">
      <c r="A15" s="458">
        <v>2.2000000000000002</v>
      </c>
      <c r="B15" s="427" t="s">
        <v>781</v>
      </c>
      <c r="C15" s="696"/>
      <c r="D15" s="696"/>
      <c r="E15" s="675">
        <f t="shared" si="0"/>
        <v>0</v>
      </c>
      <c r="F15" s="696"/>
      <c r="G15" s="696"/>
      <c r="H15" s="675">
        <f t="shared" si="1"/>
        <v>0</v>
      </c>
    </row>
    <row r="16" spans="1:8" ht="20.85" customHeight="1">
      <c r="A16" s="458">
        <v>2.2999999999999998</v>
      </c>
      <c r="B16" s="427" t="s">
        <v>782</v>
      </c>
      <c r="C16" s="696">
        <v>-1104016.07</v>
      </c>
      <c r="D16" s="696">
        <v>-8148111.2199999997</v>
      </c>
      <c r="E16" s="675">
        <f t="shared" si="0"/>
        <v>-9252127.2899999991</v>
      </c>
      <c r="F16" s="696">
        <v>-1568357.0910999998</v>
      </c>
      <c r="G16" s="696">
        <v>-8636368.9900000002</v>
      </c>
      <c r="H16" s="675">
        <f t="shared" si="1"/>
        <v>-10204726.0811</v>
      </c>
    </row>
    <row r="17" spans="1:8">
      <c r="A17" s="458">
        <v>2.4</v>
      </c>
      <c r="B17" s="427" t="s">
        <v>783</v>
      </c>
      <c r="C17" s="696"/>
      <c r="D17" s="696">
        <v>0</v>
      </c>
      <c r="E17" s="675">
        <f t="shared" si="0"/>
        <v>0</v>
      </c>
      <c r="F17" s="696"/>
      <c r="G17" s="696">
        <v>-34232</v>
      </c>
      <c r="H17" s="675">
        <f t="shared" si="1"/>
        <v>-34232</v>
      </c>
    </row>
    <row r="18" spans="1:8">
      <c r="A18" s="458">
        <v>3</v>
      </c>
      <c r="B18" s="435" t="s">
        <v>784</v>
      </c>
      <c r="C18" s="696"/>
      <c r="D18" s="696"/>
      <c r="E18" s="675">
        <f t="shared" si="0"/>
        <v>0</v>
      </c>
      <c r="F18" s="696"/>
      <c r="G18" s="696"/>
      <c r="H18" s="675">
        <f t="shared" si="1"/>
        <v>0</v>
      </c>
    </row>
    <row r="19" spans="1:8">
      <c r="A19" s="458">
        <v>4</v>
      </c>
      <c r="B19" s="435" t="s">
        <v>785</v>
      </c>
      <c r="C19" s="696">
        <v>35104.21</v>
      </c>
      <c r="D19" s="696">
        <v>0</v>
      </c>
      <c r="E19" s="675">
        <f t="shared" si="0"/>
        <v>35104.21</v>
      </c>
      <c r="F19" s="696">
        <v>80907.88</v>
      </c>
      <c r="G19" s="696"/>
      <c r="H19" s="675">
        <f t="shared" si="1"/>
        <v>80907.88</v>
      </c>
    </row>
    <row r="20" spans="1:8">
      <c r="A20" s="458">
        <v>5</v>
      </c>
      <c r="B20" s="435" t="s">
        <v>786</v>
      </c>
      <c r="C20" s="696">
        <v>-16291.98</v>
      </c>
      <c r="D20" s="696">
        <v>0</v>
      </c>
      <c r="E20" s="675">
        <f t="shared" si="0"/>
        <v>-16291.98</v>
      </c>
      <c r="F20" s="696">
        <v>-29504.76</v>
      </c>
      <c r="G20" s="696"/>
      <c r="H20" s="675">
        <f t="shared" si="1"/>
        <v>-29504.76</v>
      </c>
    </row>
    <row r="21" spans="1:8" ht="38.85" customHeight="1">
      <c r="A21" s="458">
        <v>6</v>
      </c>
      <c r="B21" s="435" t="s">
        <v>787</v>
      </c>
      <c r="C21" s="696">
        <v>15050</v>
      </c>
      <c r="D21" s="696">
        <v>2140</v>
      </c>
      <c r="E21" s="675">
        <f t="shared" si="0"/>
        <v>17190</v>
      </c>
      <c r="F21" s="696">
        <v>-64777.36911999993</v>
      </c>
      <c r="G21" s="696"/>
      <c r="H21" s="675">
        <f t="shared" si="1"/>
        <v>-64777.36911999993</v>
      </c>
    </row>
    <row r="22" spans="1:8" ht="27.6" customHeight="1">
      <c r="A22" s="458">
        <v>7</v>
      </c>
      <c r="B22" s="435" t="s">
        <v>788</v>
      </c>
      <c r="C22" s="696"/>
      <c r="D22" s="696"/>
      <c r="E22" s="675">
        <f t="shared" si="0"/>
        <v>0</v>
      </c>
      <c r="F22" s="696"/>
      <c r="G22" s="696"/>
      <c r="H22" s="675">
        <f t="shared" si="1"/>
        <v>0</v>
      </c>
    </row>
    <row r="23" spans="1:8" ht="37.35" customHeight="1">
      <c r="A23" s="458">
        <v>8</v>
      </c>
      <c r="B23" s="436" t="s">
        <v>789</v>
      </c>
      <c r="C23" s="696"/>
      <c r="D23" s="696"/>
      <c r="E23" s="675">
        <f t="shared" si="0"/>
        <v>0</v>
      </c>
      <c r="F23" s="696"/>
      <c r="G23" s="696"/>
      <c r="H23" s="675">
        <f t="shared" si="1"/>
        <v>0</v>
      </c>
    </row>
    <row r="24" spans="1:8" ht="34.5" customHeight="1">
      <c r="A24" s="458">
        <v>9</v>
      </c>
      <c r="B24" s="436" t="s">
        <v>790</v>
      </c>
      <c r="C24" s="696"/>
      <c r="D24" s="696"/>
      <c r="E24" s="675">
        <f t="shared" si="0"/>
        <v>0</v>
      </c>
      <c r="F24" s="696"/>
      <c r="G24" s="696"/>
      <c r="H24" s="675">
        <f t="shared" si="1"/>
        <v>0</v>
      </c>
    </row>
    <row r="25" spans="1:8">
      <c r="A25" s="458">
        <v>10</v>
      </c>
      <c r="B25" s="435" t="s">
        <v>791</v>
      </c>
      <c r="C25" s="696">
        <v>21393984.721895009</v>
      </c>
      <c r="D25" s="696">
        <v>0</v>
      </c>
      <c r="E25" s="675">
        <f t="shared" si="0"/>
        <v>21393984.721895009</v>
      </c>
      <c r="F25" s="696">
        <v>23629477.352346495</v>
      </c>
      <c r="G25" s="696"/>
      <c r="H25" s="675">
        <f t="shared" si="1"/>
        <v>23629477.352346495</v>
      </c>
    </row>
    <row r="26" spans="1:8" ht="27" customHeight="1">
      <c r="A26" s="458">
        <v>11</v>
      </c>
      <c r="B26" s="437" t="s">
        <v>792</v>
      </c>
      <c r="C26" s="696">
        <v>2150530.4500000002</v>
      </c>
      <c r="D26" s="696">
        <v>0</v>
      </c>
      <c r="E26" s="675">
        <f t="shared" si="0"/>
        <v>2150530.4500000002</v>
      </c>
      <c r="F26" s="696">
        <v>-16138142.269999998</v>
      </c>
      <c r="G26" s="696"/>
      <c r="H26" s="675">
        <f t="shared" si="1"/>
        <v>-16138142.269999998</v>
      </c>
    </row>
    <row r="27" spans="1:8">
      <c r="A27" s="458">
        <v>12</v>
      </c>
      <c r="B27" s="435" t="s">
        <v>793</v>
      </c>
      <c r="C27" s="696">
        <v>-476.73000000009051</v>
      </c>
      <c r="D27" s="696">
        <v>0</v>
      </c>
      <c r="E27" s="675">
        <f t="shared" si="0"/>
        <v>-476.73000000009051</v>
      </c>
      <c r="F27" s="696">
        <v>1103412</v>
      </c>
      <c r="G27" s="696"/>
      <c r="H27" s="675">
        <f t="shared" si="1"/>
        <v>1103412</v>
      </c>
    </row>
    <row r="28" spans="1:8">
      <c r="A28" s="458">
        <v>13</v>
      </c>
      <c r="B28" s="438" t="s">
        <v>794</v>
      </c>
      <c r="C28" s="696">
        <v>-3543428</v>
      </c>
      <c r="D28" s="696">
        <v>-48119</v>
      </c>
      <c r="E28" s="675">
        <f t="shared" si="0"/>
        <v>-3591547</v>
      </c>
      <c r="F28" s="696">
        <v>-2824973.2136765989</v>
      </c>
      <c r="G28" s="696"/>
      <c r="H28" s="675">
        <f t="shared" si="1"/>
        <v>-2824973.2136765989</v>
      </c>
    </row>
    <row r="29" spans="1:8">
      <c r="A29" s="458">
        <v>14</v>
      </c>
      <c r="B29" s="439" t="s">
        <v>795</v>
      </c>
      <c r="C29" s="696">
        <v>-9323163</v>
      </c>
      <c r="D29" s="696">
        <v>0</v>
      </c>
      <c r="E29" s="675">
        <f t="shared" si="0"/>
        <v>-9323163</v>
      </c>
      <c r="F29" s="696">
        <v>-11221099.300000001</v>
      </c>
      <c r="G29" s="696">
        <v>0</v>
      </c>
      <c r="H29" s="675">
        <f t="shared" si="1"/>
        <v>-11221099.300000001</v>
      </c>
    </row>
    <row r="30" spans="1:8">
      <c r="A30" s="458">
        <v>14.1</v>
      </c>
      <c r="B30" s="412" t="s">
        <v>796</v>
      </c>
      <c r="C30" s="696">
        <v>-9323163</v>
      </c>
      <c r="D30" s="696">
        <v>0</v>
      </c>
      <c r="E30" s="675">
        <f t="shared" si="0"/>
        <v>-9323163</v>
      </c>
      <c r="F30" s="696">
        <v>-9808401</v>
      </c>
      <c r="G30" s="696"/>
      <c r="H30" s="675">
        <f t="shared" si="1"/>
        <v>-9808401</v>
      </c>
    </row>
    <row r="31" spans="1:8">
      <c r="A31" s="458">
        <v>14.2</v>
      </c>
      <c r="B31" s="412" t="s">
        <v>797</v>
      </c>
      <c r="C31" s="696">
        <v>0</v>
      </c>
      <c r="D31" s="696"/>
      <c r="E31" s="675">
        <f t="shared" si="0"/>
        <v>0</v>
      </c>
      <c r="F31" s="696">
        <v>0</v>
      </c>
      <c r="G31" s="696"/>
      <c r="H31" s="675">
        <f t="shared" si="1"/>
        <v>0</v>
      </c>
    </row>
    <row r="32" spans="1:8">
      <c r="A32" s="458">
        <v>15</v>
      </c>
      <c r="B32" s="440" t="s">
        <v>798</v>
      </c>
      <c r="C32" s="696">
        <v>-1523154</v>
      </c>
      <c r="D32" s="696">
        <v>0</v>
      </c>
      <c r="E32" s="675">
        <f t="shared" si="0"/>
        <v>-1523154</v>
      </c>
      <c r="F32" s="696">
        <v>-3717650</v>
      </c>
      <c r="G32" s="696"/>
      <c r="H32" s="675">
        <f t="shared" si="1"/>
        <v>-3717650</v>
      </c>
    </row>
    <row r="33" spans="1:8" ht="22.5" customHeight="1">
      <c r="A33" s="458">
        <v>16</v>
      </c>
      <c r="B33" s="408" t="s">
        <v>799</v>
      </c>
      <c r="C33" s="696">
        <v>-219554.31991999992</v>
      </c>
      <c r="D33" s="696">
        <v>0</v>
      </c>
      <c r="E33" s="675">
        <f t="shared" si="0"/>
        <v>-219554.31991999992</v>
      </c>
      <c r="F33" s="696">
        <v>172436.42999999993</v>
      </c>
      <c r="G33" s="696"/>
      <c r="H33" s="675">
        <f t="shared" si="1"/>
        <v>172436.42999999993</v>
      </c>
    </row>
    <row r="34" spans="1:8">
      <c r="A34" s="458">
        <v>17</v>
      </c>
      <c r="B34" s="435" t="s">
        <v>800</v>
      </c>
      <c r="C34" s="696">
        <v>0</v>
      </c>
      <c r="D34" s="696">
        <v>0</v>
      </c>
      <c r="E34" s="675">
        <f t="shared" si="0"/>
        <v>0</v>
      </c>
      <c r="F34" s="696"/>
      <c r="G34" s="696">
        <v>0</v>
      </c>
      <c r="H34" s="675">
        <f t="shared" si="1"/>
        <v>0</v>
      </c>
    </row>
    <row r="35" spans="1:8">
      <c r="A35" s="458">
        <v>17.100000000000001</v>
      </c>
      <c r="B35" s="441" t="s">
        <v>801</v>
      </c>
      <c r="C35" s="696">
        <v>0</v>
      </c>
      <c r="D35" s="696"/>
      <c r="E35" s="675">
        <f t="shared" si="0"/>
        <v>0</v>
      </c>
      <c r="F35" s="696"/>
      <c r="G35" s="696"/>
      <c r="H35" s="675">
        <f t="shared" si="1"/>
        <v>0</v>
      </c>
    </row>
    <row r="36" spans="1:8">
      <c r="A36" s="458">
        <v>17.2</v>
      </c>
      <c r="B36" s="412" t="s">
        <v>802</v>
      </c>
      <c r="C36" s="696"/>
      <c r="D36" s="696">
        <v>0</v>
      </c>
      <c r="E36" s="675">
        <f t="shared" si="0"/>
        <v>0</v>
      </c>
      <c r="F36" s="696"/>
      <c r="G36" s="696"/>
      <c r="H36" s="675">
        <f t="shared" si="1"/>
        <v>0</v>
      </c>
    </row>
    <row r="37" spans="1:8" ht="41.85" customHeight="1">
      <c r="A37" s="458">
        <v>18</v>
      </c>
      <c r="B37" s="442" t="s">
        <v>803</v>
      </c>
      <c r="C37" s="696">
        <v>-8021511.8730656384</v>
      </c>
      <c r="D37" s="696">
        <v>0</v>
      </c>
      <c r="E37" s="675">
        <f t="shared" si="0"/>
        <v>-8021511.8730656384</v>
      </c>
      <c r="F37" s="696">
        <v>-6747469.3754698047</v>
      </c>
      <c r="G37" s="696">
        <v>0</v>
      </c>
      <c r="H37" s="675">
        <f t="shared" si="1"/>
        <v>-6747469.3754698047</v>
      </c>
    </row>
    <row r="38" spans="1:8" ht="21">
      <c r="A38" s="458">
        <v>18.100000000000001</v>
      </c>
      <c r="B38" s="427" t="s">
        <v>804</v>
      </c>
      <c r="C38" s="696"/>
      <c r="D38" s="696"/>
      <c r="E38" s="675">
        <f t="shared" si="0"/>
        <v>0</v>
      </c>
      <c r="F38" s="696"/>
      <c r="G38" s="696"/>
      <c r="H38" s="675">
        <f t="shared" si="1"/>
        <v>0</v>
      </c>
    </row>
    <row r="39" spans="1:8">
      <c r="A39" s="458">
        <v>18.2</v>
      </c>
      <c r="B39" s="427" t="s">
        <v>805</v>
      </c>
      <c r="C39" s="696">
        <v>-8021511.8730656384</v>
      </c>
      <c r="D39" s="696">
        <v>0</v>
      </c>
      <c r="E39" s="675">
        <f t="shared" si="0"/>
        <v>-8021511.8730656384</v>
      </c>
      <c r="F39" s="696">
        <v>-6747469.3754698047</v>
      </c>
      <c r="G39" s="696"/>
      <c r="H39" s="675">
        <f t="shared" si="1"/>
        <v>-6747469.3754698047</v>
      </c>
    </row>
    <row r="40" spans="1:8" ht="24.6" customHeight="1">
      <c r="A40" s="458">
        <v>19</v>
      </c>
      <c r="B40" s="442" t="s">
        <v>806</v>
      </c>
      <c r="C40" s="696"/>
      <c r="D40" s="696"/>
      <c r="E40" s="675">
        <f t="shared" si="0"/>
        <v>0</v>
      </c>
      <c r="F40" s="696"/>
      <c r="G40" s="696"/>
      <c r="H40" s="675">
        <f t="shared" si="1"/>
        <v>0</v>
      </c>
    </row>
    <row r="41" spans="1:8" ht="25.35" customHeight="1">
      <c r="A41" s="458">
        <v>20</v>
      </c>
      <c r="B41" s="442" t="s">
        <v>807</v>
      </c>
      <c r="C41" s="696"/>
      <c r="D41" s="696"/>
      <c r="E41" s="675">
        <f t="shared" si="0"/>
        <v>0</v>
      </c>
      <c r="F41" s="696"/>
      <c r="G41" s="696"/>
      <c r="H41" s="675">
        <f t="shared" si="1"/>
        <v>0</v>
      </c>
    </row>
    <row r="42" spans="1:8" ht="33" customHeight="1">
      <c r="A42" s="458">
        <v>21</v>
      </c>
      <c r="B42" s="443" t="s">
        <v>808</v>
      </c>
      <c r="C42" s="696"/>
      <c r="D42" s="696"/>
      <c r="E42" s="675">
        <f t="shared" si="0"/>
        <v>0</v>
      </c>
      <c r="F42" s="696"/>
      <c r="G42" s="696"/>
      <c r="H42" s="675">
        <f t="shared" si="1"/>
        <v>0</v>
      </c>
    </row>
    <row r="43" spans="1:8">
      <c r="A43" s="458">
        <v>22</v>
      </c>
      <c r="B43" s="444" t="s">
        <v>809</v>
      </c>
      <c r="C43" s="696">
        <v>9656376.4089093693</v>
      </c>
      <c r="D43" s="696">
        <v>-1205159.1009912137</v>
      </c>
      <c r="E43" s="675">
        <f t="shared" si="0"/>
        <v>8451217.3079181556</v>
      </c>
      <c r="F43" s="696">
        <v>-1848917.0811993899</v>
      </c>
      <c r="G43" s="696">
        <v>-1120196.1289605433</v>
      </c>
      <c r="H43" s="675">
        <f t="shared" si="1"/>
        <v>-2969113.2101599332</v>
      </c>
    </row>
    <row r="44" spans="1:8">
      <c r="A44" s="458">
        <v>23</v>
      </c>
      <c r="B44" s="444" t="s">
        <v>810</v>
      </c>
      <c r="C44" s="696">
        <v>38500</v>
      </c>
      <c r="D44" s="696">
        <v>0</v>
      </c>
      <c r="E44" s="675">
        <f t="shared" si="0"/>
        <v>38500</v>
      </c>
      <c r="F44" s="696">
        <v>-3007498.4066963</v>
      </c>
      <c r="G44" s="696"/>
      <c r="H44" s="675">
        <f t="shared" si="1"/>
        <v>-3007498.4066963</v>
      </c>
    </row>
    <row r="45" spans="1:8">
      <c r="A45" s="458">
        <v>24</v>
      </c>
      <c r="B45" s="444" t="s">
        <v>811</v>
      </c>
      <c r="C45" s="696">
        <v>9617876.4089093693</v>
      </c>
      <c r="D45" s="696">
        <v>-1205159.1009912137</v>
      </c>
      <c r="E45" s="675">
        <f t="shared" si="0"/>
        <v>8412717.3079181556</v>
      </c>
      <c r="F45" s="696">
        <v>1158581.3254969101</v>
      </c>
      <c r="G45" s="696">
        <v>-1120196.1289605433</v>
      </c>
      <c r="H45" s="675">
        <f t="shared" si="1"/>
        <v>38385.196536366828</v>
      </c>
    </row>
    <row r="46" spans="1:8">
      <c r="C46" s="786"/>
      <c r="D46" s="786"/>
      <c r="E46" s="786"/>
      <c r="F46" s="786"/>
      <c r="G46" s="786"/>
      <c r="H46" s="786"/>
    </row>
    <row r="47" spans="1:8">
      <c r="C47" s="786"/>
      <c r="D47" s="786"/>
      <c r="E47" s="786"/>
      <c r="F47" s="786"/>
      <c r="G47" s="786"/>
      <c r="H47" s="786"/>
    </row>
    <row r="48" spans="1:8">
      <c r="C48" s="786"/>
      <c r="D48" s="786"/>
      <c r="E48" s="786"/>
      <c r="F48" s="786"/>
      <c r="G48" s="786"/>
      <c r="H48" s="786"/>
    </row>
    <row r="49" spans="3:8">
      <c r="C49" s="786"/>
      <c r="D49" s="786"/>
      <c r="E49" s="786"/>
      <c r="F49" s="786"/>
      <c r="G49" s="786"/>
      <c r="H49" s="786"/>
    </row>
    <row r="50" spans="3:8">
      <c r="C50" s="786"/>
      <c r="D50" s="786"/>
      <c r="E50" s="786"/>
      <c r="F50" s="786"/>
      <c r="G50" s="786"/>
      <c r="H50" s="786"/>
    </row>
    <row r="51" spans="3:8">
      <c r="C51" s="786"/>
      <c r="D51" s="786"/>
      <c r="E51" s="786"/>
      <c r="F51" s="786"/>
      <c r="G51" s="786"/>
      <c r="H51" s="786"/>
    </row>
    <row r="52" spans="3:8">
      <c r="C52" s="786"/>
      <c r="D52" s="786"/>
      <c r="E52" s="786"/>
      <c r="F52" s="786"/>
      <c r="G52" s="786"/>
      <c r="H52" s="786"/>
    </row>
    <row r="53" spans="3:8">
      <c r="C53" s="786"/>
      <c r="D53" s="786"/>
      <c r="E53" s="786"/>
      <c r="F53" s="786"/>
      <c r="G53" s="786"/>
      <c r="H53" s="786"/>
    </row>
    <row r="54" spans="3:8">
      <c r="C54" s="786"/>
      <c r="D54" s="786"/>
      <c r="E54" s="786"/>
      <c r="F54" s="786"/>
      <c r="G54" s="786"/>
      <c r="H54" s="786"/>
    </row>
    <row r="55" spans="3:8">
      <c r="C55" s="786"/>
      <c r="D55" s="786"/>
      <c r="E55" s="786"/>
      <c r="F55" s="786"/>
      <c r="G55" s="786"/>
      <c r="H55" s="786"/>
    </row>
    <row r="56" spans="3:8">
      <c r="C56" s="786"/>
      <c r="D56" s="786"/>
      <c r="E56" s="786"/>
      <c r="F56" s="786"/>
      <c r="G56" s="786"/>
      <c r="H56" s="786"/>
    </row>
    <row r="57" spans="3:8">
      <c r="C57" s="786"/>
      <c r="D57" s="786"/>
      <c r="E57" s="786"/>
      <c r="F57" s="786"/>
      <c r="G57" s="786"/>
      <c r="H57" s="786"/>
    </row>
    <row r="58" spans="3:8">
      <c r="C58" s="786"/>
      <c r="D58" s="786"/>
      <c r="E58" s="786"/>
      <c r="F58" s="786"/>
      <c r="G58" s="786"/>
      <c r="H58" s="786"/>
    </row>
    <row r="59" spans="3:8">
      <c r="C59" s="786"/>
      <c r="D59" s="786"/>
      <c r="E59" s="786"/>
      <c r="F59" s="786"/>
      <c r="G59" s="786"/>
      <c r="H59" s="786"/>
    </row>
    <row r="60" spans="3:8">
      <c r="C60" s="786"/>
      <c r="D60" s="786"/>
      <c r="E60" s="786"/>
      <c r="F60" s="786"/>
      <c r="G60" s="786"/>
      <c r="H60" s="786"/>
    </row>
    <row r="61" spans="3:8">
      <c r="C61" s="786"/>
      <c r="D61" s="786"/>
      <c r="E61" s="786"/>
      <c r="F61" s="786"/>
      <c r="G61" s="786"/>
      <c r="H61" s="786"/>
    </row>
    <row r="62" spans="3:8">
      <c r="C62" s="786"/>
      <c r="D62" s="786"/>
      <c r="E62" s="786"/>
      <c r="F62" s="786"/>
      <c r="G62" s="786"/>
      <c r="H62" s="786"/>
    </row>
    <row r="63" spans="3:8">
      <c r="C63" s="786"/>
      <c r="D63" s="786"/>
      <c r="E63" s="786"/>
      <c r="F63" s="786"/>
      <c r="G63" s="786"/>
      <c r="H63" s="786"/>
    </row>
    <row r="64" spans="3:8">
      <c r="C64" s="786"/>
      <c r="D64" s="786"/>
      <c r="E64" s="786"/>
      <c r="F64" s="786"/>
      <c r="G64" s="786"/>
      <c r="H64" s="786"/>
    </row>
    <row r="65" spans="3:8">
      <c r="C65" s="786"/>
      <c r="D65" s="786"/>
      <c r="E65" s="786"/>
      <c r="F65" s="786"/>
      <c r="G65" s="786"/>
      <c r="H65" s="786"/>
    </row>
    <row r="66" spans="3:8">
      <c r="C66" s="786"/>
      <c r="D66" s="786"/>
      <c r="E66" s="786"/>
      <c r="F66" s="786"/>
      <c r="G66" s="786"/>
      <c r="H66" s="786"/>
    </row>
    <row r="67" spans="3:8">
      <c r="C67" s="786"/>
      <c r="D67" s="786"/>
      <c r="E67" s="786"/>
      <c r="F67" s="786"/>
      <c r="G67" s="786"/>
      <c r="H67" s="786"/>
    </row>
    <row r="68" spans="3:8">
      <c r="C68" s="786"/>
      <c r="D68" s="786"/>
      <c r="E68" s="786"/>
      <c r="F68" s="786"/>
      <c r="G68" s="786"/>
      <c r="H68" s="786"/>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zoomScale="80" zoomScaleNormal="80" workbookViewId="0">
      <selection activeCell="C28" sqref="C28"/>
    </sheetView>
  </sheetViews>
  <sheetFormatPr defaultRowHeight="15"/>
  <cols>
    <col min="1" max="1" width="8.7109375" style="455"/>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06" t="str">
        <f>Info!C2</f>
        <v>JSC "VTB Bank (Georgia)"</v>
      </c>
      <c r="C1" s="16"/>
      <c r="D1" s="227"/>
      <c r="E1" s="227"/>
      <c r="F1" s="227"/>
      <c r="G1" s="227"/>
    </row>
    <row r="2" spans="1:8" ht="15.75">
      <c r="A2" s="17" t="s">
        <v>109</v>
      </c>
      <c r="B2" s="337">
        <f>Info!D2</f>
        <v>45657</v>
      </c>
      <c r="C2" s="29"/>
      <c r="D2" s="18"/>
      <c r="E2" s="18"/>
      <c r="F2" s="18"/>
      <c r="G2" s="18"/>
      <c r="H2" s="1"/>
    </row>
    <row r="3" spans="1:8" ht="16.5" thickBot="1">
      <c r="A3" s="17"/>
      <c r="B3" s="16"/>
      <c r="C3" s="29"/>
      <c r="D3" s="18"/>
      <c r="E3" s="18"/>
      <c r="F3" s="18"/>
      <c r="G3" s="18"/>
      <c r="H3" s="1"/>
    </row>
    <row r="4" spans="1:8" ht="15.75">
      <c r="A4" s="809" t="s">
        <v>25</v>
      </c>
      <c r="B4" s="821" t="s">
        <v>151</v>
      </c>
      <c r="C4" s="822" t="s">
        <v>114</v>
      </c>
      <c r="D4" s="822"/>
      <c r="E4" s="822"/>
      <c r="F4" s="822" t="s">
        <v>115</v>
      </c>
      <c r="G4" s="822"/>
      <c r="H4" s="823"/>
    </row>
    <row r="5" spans="1:8">
      <c r="A5" s="809"/>
      <c r="B5" s="821"/>
      <c r="C5" s="431" t="s">
        <v>26</v>
      </c>
      <c r="D5" s="431" t="s">
        <v>88</v>
      </c>
      <c r="E5" s="431" t="s">
        <v>66</v>
      </c>
      <c r="F5" s="431" t="s">
        <v>26</v>
      </c>
      <c r="G5" s="431" t="s">
        <v>88</v>
      </c>
      <c r="H5" s="445" t="s">
        <v>66</v>
      </c>
    </row>
    <row r="6" spans="1:8" ht="15.75">
      <c r="A6" s="446">
        <v>1</v>
      </c>
      <c r="B6" s="447" t="s">
        <v>812</v>
      </c>
      <c r="C6" s="722"/>
      <c r="D6" s="722"/>
      <c r="E6" s="723">
        <f t="shared" ref="E6:E43" si="0">C6+D6</f>
        <v>0</v>
      </c>
      <c r="F6" s="722"/>
      <c r="G6" s="722"/>
      <c r="H6" s="724">
        <f t="shared" ref="H6:H43" si="1">F6+G6</f>
        <v>0</v>
      </c>
    </row>
    <row r="7" spans="1:8" ht="28.35" customHeight="1">
      <c r="A7" s="446">
        <v>2</v>
      </c>
      <c r="B7" s="447" t="s">
        <v>177</v>
      </c>
      <c r="C7" s="722"/>
      <c r="D7" s="722"/>
      <c r="E7" s="723">
        <f t="shared" si="0"/>
        <v>0</v>
      </c>
      <c r="F7" s="722"/>
      <c r="G7" s="722"/>
      <c r="H7" s="724">
        <f t="shared" si="1"/>
        <v>0</v>
      </c>
    </row>
    <row r="8" spans="1:8" ht="15.75">
      <c r="A8" s="446">
        <v>3</v>
      </c>
      <c r="B8" s="447" t="s">
        <v>179</v>
      </c>
      <c r="C8" s="722">
        <v>31420247</v>
      </c>
      <c r="D8" s="722">
        <v>3289976411</v>
      </c>
      <c r="E8" s="723">
        <f t="shared" si="0"/>
        <v>3321396658</v>
      </c>
      <c r="F8" s="722">
        <v>57948121</v>
      </c>
      <c r="G8" s="722">
        <v>3359450395</v>
      </c>
      <c r="H8" s="724">
        <f t="shared" si="1"/>
        <v>3417398516</v>
      </c>
    </row>
    <row r="9" spans="1:8" ht="15.75">
      <c r="A9" s="446">
        <v>3.1</v>
      </c>
      <c r="B9" s="448" t="s">
        <v>813</v>
      </c>
      <c r="C9" s="722">
        <v>31420247</v>
      </c>
      <c r="D9" s="722">
        <v>3282027384.9920001</v>
      </c>
      <c r="E9" s="723">
        <f t="shared" si="0"/>
        <v>3313447631.9920001</v>
      </c>
      <c r="F9" s="722">
        <v>57948121</v>
      </c>
      <c r="G9" s="722">
        <v>3346425899.7399998</v>
      </c>
      <c r="H9" s="724">
        <f t="shared" si="1"/>
        <v>3404374020.7399998</v>
      </c>
    </row>
    <row r="10" spans="1:8" ht="15.75">
      <c r="A10" s="446">
        <v>3.2</v>
      </c>
      <c r="B10" s="448" t="s">
        <v>814</v>
      </c>
      <c r="C10" s="722">
        <v>0</v>
      </c>
      <c r="D10" s="722">
        <v>7949026.0080000004</v>
      </c>
      <c r="E10" s="723">
        <f t="shared" si="0"/>
        <v>7949026.0080000004</v>
      </c>
      <c r="F10" s="722">
        <v>0</v>
      </c>
      <c r="G10" s="722">
        <v>13024495.26</v>
      </c>
      <c r="H10" s="724">
        <f t="shared" si="1"/>
        <v>13024495.26</v>
      </c>
    </row>
    <row r="11" spans="1:8" ht="25.5">
      <c r="A11" s="446">
        <v>4</v>
      </c>
      <c r="B11" s="447" t="s">
        <v>178</v>
      </c>
      <c r="C11" s="722">
        <f>C12+C13</f>
        <v>0</v>
      </c>
      <c r="D11" s="722">
        <f>D12+D13</f>
        <v>0</v>
      </c>
      <c r="E11" s="723">
        <f t="shared" si="0"/>
        <v>0</v>
      </c>
      <c r="F11" s="722">
        <v>0</v>
      </c>
      <c r="G11" s="722">
        <v>0</v>
      </c>
      <c r="H11" s="724">
        <f t="shared" si="1"/>
        <v>0</v>
      </c>
    </row>
    <row r="12" spans="1:8" ht="15.75">
      <c r="A12" s="446">
        <v>4.0999999999999996</v>
      </c>
      <c r="B12" s="448" t="s">
        <v>815</v>
      </c>
      <c r="C12" s="722"/>
      <c r="D12" s="722"/>
      <c r="E12" s="723">
        <f t="shared" si="0"/>
        <v>0</v>
      </c>
      <c r="F12" s="722"/>
      <c r="G12" s="722"/>
      <c r="H12" s="724">
        <f t="shared" si="1"/>
        <v>0</v>
      </c>
    </row>
    <row r="13" spans="1:8" ht="15.75">
      <c r="A13" s="446">
        <v>4.2</v>
      </c>
      <c r="B13" s="448" t="s">
        <v>816</v>
      </c>
      <c r="C13" s="722"/>
      <c r="D13" s="722"/>
      <c r="E13" s="723">
        <f t="shared" si="0"/>
        <v>0</v>
      </c>
      <c r="F13" s="722"/>
      <c r="G13" s="722"/>
      <c r="H13" s="724">
        <f t="shared" si="1"/>
        <v>0</v>
      </c>
    </row>
    <row r="14" spans="1:8" ht="15.75">
      <c r="A14" s="446">
        <v>5</v>
      </c>
      <c r="B14" s="449" t="s">
        <v>817</v>
      </c>
      <c r="C14" s="722">
        <v>24287780</v>
      </c>
      <c r="D14" s="722">
        <v>608198640.36169994</v>
      </c>
      <c r="E14" s="723">
        <f t="shared" si="0"/>
        <v>632486420.36169994</v>
      </c>
      <c r="F14" s="722">
        <v>26707148.390000001</v>
      </c>
      <c r="G14" s="722">
        <v>629929879.66229987</v>
      </c>
      <c r="H14" s="724">
        <f t="shared" si="1"/>
        <v>656637028.05229986</v>
      </c>
    </row>
    <row r="15" spans="1:8" ht="15.75">
      <c r="A15" s="446">
        <v>5.0999999999999996</v>
      </c>
      <c r="B15" s="450" t="s">
        <v>818</v>
      </c>
      <c r="C15" s="722">
        <v>230000</v>
      </c>
      <c r="D15" s="722">
        <v>593612.23710000003</v>
      </c>
      <c r="E15" s="723">
        <f t="shared" si="0"/>
        <v>823612.23710000003</v>
      </c>
      <c r="F15" s="722">
        <v>2649368.39</v>
      </c>
      <c r="G15" s="722">
        <v>609124.22309999994</v>
      </c>
      <c r="H15" s="724">
        <f t="shared" si="1"/>
        <v>3258492.6131000002</v>
      </c>
    </row>
    <row r="16" spans="1:8" ht="15.75">
      <c r="A16" s="446">
        <v>5.2</v>
      </c>
      <c r="B16" s="450" t="s">
        <v>819</v>
      </c>
      <c r="C16" s="722">
        <v>0</v>
      </c>
      <c r="D16" s="722">
        <v>75074.967199999999</v>
      </c>
      <c r="E16" s="723">
        <f t="shared" si="0"/>
        <v>75074.967199999999</v>
      </c>
      <c r="F16" s="722">
        <v>0</v>
      </c>
      <c r="G16" s="722">
        <v>71934.807199999996</v>
      </c>
      <c r="H16" s="724">
        <f t="shared" si="1"/>
        <v>71934.807199999996</v>
      </c>
    </row>
    <row r="17" spans="1:8" ht="15.75">
      <c r="A17" s="446">
        <v>5.3</v>
      </c>
      <c r="B17" s="450" t="s">
        <v>820</v>
      </c>
      <c r="C17" s="722">
        <v>23225400</v>
      </c>
      <c r="D17" s="722">
        <v>408760240.02959996</v>
      </c>
      <c r="E17" s="723">
        <f t="shared" si="0"/>
        <v>431985640.02959996</v>
      </c>
      <c r="F17" s="722">
        <v>23225400</v>
      </c>
      <c r="G17" s="722">
        <v>411012742.85259998</v>
      </c>
      <c r="H17" s="724">
        <f t="shared" si="1"/>
        <v>434238142.85259998</v>
      </c>
    </row>
    <row r="18" spans="1:8" ht="15.75">
      <c r="A18" s="446" t="s">
        <v>180</v>
      </c>
      <c r="B18" s="451" t="s">
        <v>821</v>
      </c>
      <c r="C18" s="722">
        <v>138000</v>
      </c>
      <c r="D18" s="722">
        <v>34306113</v>
      </c>
      <c r="E18" s="723">
        <f t="shared" si="0"/>
        <v>34444113</v>
      </c>
      <c r="F18" s="722">
        <v>138000</v>
      </c>
      <c r="G18" s="722">
        <v>34466005.700000003</v>
      </c>
      <c r="H18" s="724">
        <f t="shared" si="1"/>
        <v>34604005.700000003</v>
      </c>
    </row>
    <row r="19" spans="1:8" ht="15.75">
      <c r="A19" s="446" t="s">
        <v>181</v>
      </c>
      <c r="B19" s="452" t="s">
        <v>822</v>
      </c>
      <c r="C19" s="722">
        <v>23074400</v>
      </c>
      <c r="D19" s="722">
        <v>272708968.68000001</v>
      </c>
      <c r="E19" s="723">
        <f t="shared" si="0"/>
        <v>295783368.68000001</v>
      </c>
      <c r="F19" s="722">
        <v>23074400</v>
      </c>
      <c r="G19" s="722">
        <v>272751148.74000001</v>
      </c>
      <c r="H19" s="724">
        <f t="shared" si="1"/>
        <v>295825548.74000001</v>
      </c>
    </row>
    <row r="20" spans="1:8" ht="15.75">
      <c r="A20" s="446" t="s">
        <v>182</v>
      </c>
      <c r="B20" s="452" t="s">
        <v>823</v>
      </c>
      <c r="C20" s="722">
        <v>0</v>
      </c>
      <c r="D20" s="722">
        <v>18547334.399999999</v>
      </c>
      <c r="E20" s="723">
        <f t="shared" si="0"/>
        <v>18547334.399999999</v>
      </c>
      <c r="F20" s="722">
        <v>0</v>
      </c>
      <c r="G20" s="722">
        <v>17771555.199999999</v>
      </c>
      <c r="H20" s="724">
        <f t="shared" si="1"/>
        <v>17771555.199999999</v>
      </c>
    </row>
    <row r="21" spans="1:8" ht="15.75">
      <c r="A21" s="446" t="s">
        <v>183</v>
      </c>
      <c r="B21" s="452" t="s">
        <v>824</v>
      </c>
      <c r="C21" s="722">
        <v>13000</v>
      </c>
      <c r="D21" s="722">
        <v>40100807.736000001</v>
      </c>
      <c r="E21" s="723">
        <f t="shared" si="0"/>
        <v>40113807.736000001</v>
      </c>
      <c r="F21" s="722">
        <v>13000</v>
      </c>
      <c r="G21" s="722">
        <v>44729635.533799998</v>
      </c>
      <c r="H21" s="724">
        <f t="shared" si="1"/>
        <v>44742635.533799998</v>
      </c>
    </row>
    <row r="22" spans="1:8" ht="15.75">
      <c r="A22" s="446" t="s">
        <v>184</v>
      </c>
      <c r="B22" s="452" t="s">
        <v>541</v>
      </c>
      <c r="C22" s="722">
        <v>0</v>
      </c>
      <c r="D22" s="722">
        <v>43097016.213600002</v>
      </c>
      <c r="E22" s="723">
        <f t="shared" si="0"/>
        <v>43097016.213600002</v>
      </c>
      <c r="F22" s="722">
        <v>0</v>
      </c>
      <c r="G22" s="722">
        <v>41294397.678800002</v>
      </c>
      <c r="H22" s="724">
        <f t="shared" si="1"/>
        <v>41294397.678800002</v>
      </c>
    </row>
    <row r="23" spans="1:8" ht="15.75">
      <c r="A23" s="446">
        <v>5.4</v>
      </c>
      <c r="B23" s="450" t="s">
        <v>825</v>
      </c>
      <c r="C23" s="722">
        <v>804767</v>
      </c>
      <c r="D23" s="722">
        <v>134372246.8867</v>
      </c>
      <c r="E23" s="723">
        <f t="shared" si="0"/>
        <v>135177013.8867</v>
      </c>
      <c r="F23" s="722">
        <v>804767</v>
      </c>
      <c r="G23" s="722">
        <v>156532163.81729999</v>
      </c>
      <c r="H23" s="724">
        <f t="shared" si="1"/>
        <v>157336930.81729999</v>
      </c>
    </row>
    <row r="24" spans="1:8" ht="15.75">
      <c r="A24" s="446">
        <v>5.5</v>
      </c>
      <c r="B24" s="450" t="s">
        <v>826</v>
      </c>
      <c r="C24" s="722">
        <v>5</v>
      </c>
      <c r="D24" s="722">
        <v>56136002.8068</v>
      </c>
      <c r="E24" s="723">
        <f t="shared" si="0"/>
        <v>56136007.8068</v>
      </c>
      <c r="F24" s="722">
        <v>5</v>
      </c>
      <c r="G24" s="722">
        <v>53788002.689400002</v>
      </c>
      <c r="H24" s="724">
        <f t="shared" si="1"/>
        <v>53788007.689400002</v>
      </c>
    </row>
    <row r="25" spans="1:8" ht="15.75">
      <c r="A25" s="446">
        <v>5.6</v>
      </c>
      <c r="B25" s="450" t="s">
        <v>827</v>
      </c>
      <c r="C25" s="722">
        <v>0</v>
      </c>
      <c r="D25" s="722">
        <v>7859040</v>
      </c>
      <c r="E25" s="723">
        <f t="shared" si="0"/>
        <v>7859040</v>
      </c>
      <c r="F25" s="722">
        <v>0</v>
      </c>
      <c r="G25" s="722">
        <v>7530320</v>
      </c>
      <c r="H25" s="724">
        <f t="shared" si="1"/>
        <v>7530320</v>
      </c>
    </row>
    <row r="26" spans="1:8" ht="15.75">
      <c r="A26" s="446">
        <v>5.7</v>
      </c>
      <c r="B26" s="450" t="s">
        <v>541</v>
      </c>
      <c r="C26" s="722">
        <v>27608</v>
      </c>
      <c r="D26" s="722">
        <v>402423.43430000002</v>
      </c>
      <c r="E26" s="723">
        <f t="shared" si="0"/>
        <v>430031.43430000002</v>
      </c>
      <c r="F26" s="722">
        <v>27608</v>
      </c>
      <c r="G26" s="722">
        <v>385591.27269999997</v>
      </c>
      <c r="H26" s="724">
        <f t="shared" si="1"/>
        <v>413199.27269999997</v>
      </c>
    </row>
    <row r="27" spans="1:8" ht="15.75">
      <c r="A27" s="446">
        <v>6</v>
      </c>
      <c r="B27" s="449" t="s">
        <v>828</v>
      </c>
      <c r="C27" s="722">
        <v>0</v>
      </c>
      <c r="D27" s="722">
        <v>0</v>
      </c>
      <c r="E27" s="723">
        <f t="shared" si="0"/>
        <v>0</v>
      </c>
      <c r="F27" s="722"/>
      <c r="G27" s="722"/>
      <c r="H27" s="724">
        <f t="shared" si="1"/>
        <v>0</v>
      </c>
    </row>
    <row r="28" spans="1:8" ht="15.75">
      <c r="A28" s="446">
        <v>7</v>
      </c>
      <c r="B28" s="449" t="s">
        <v>829</v>
      </c>
      <c r="C28" s="722">
        <v>247145</v>
      </c>
      <c r="D28" s="722">
        <v>16248</v>
      </c>
      <c r="E28" s="723">
        <f t="shared" si="0"/>
        <v>263393</v>
      </c>
      <c r="F28" s="722">
        <v>2905590.18</v>
      </c>
      <c r="G28" s="722">
        <v>15568</v>
      </c>
      <c r="H28" s="724">
        <f t="shared" si="1"/>
        <v>2921158.18</v>
      </c>
    </row>
    <row r="29" spans="1:8" ht="15.75">
      <c r="A29" s="446">
        <v>8</v>
      </c>
      <c r="B29" s="449" t="s">
        <v>830</v>
      </c>
      <c r="C29" s="722"/>
      <c r="D29" s="722"/>
      <c r="E29" s="723">
        <f t="shared" si="0"/>
        <v>0</v>
      </c>
      <c r="F29" s="722"/>
      <c r="G29" s="722"/>
      <c r="H29" s="724">
        <f t="shared" si="1"/>
        <v>0</v>
      </c>
    </row>
    <row r="30" spans="1:8" ht="15.75">
      <c r="A30" s="446">
        <v>9</v>
      </c>
      <c r="B30" s="447" t="s">
        <v>185</v>
      </c>
      <c r="C30" s="722">
        <f>C31+C32+C33+C34+C35+C36+C37</f>
        <v>0</v>
      </c>
      <c r="D30" s="722">
        <f>D31+D32+D33+D34+D35+D36+D37</f>
        <v>0</v>
      </c>
      <c r="E30" s="723">
        <f t="shared" si="0"/>
        <v>0</v>
      </c>
      <c r="F30" s="722">
        <v>0</v>
      </c>
      <c r="G30" s="722">
        <v>0</v>
      </c>
      <c r="H30" s="724">
        <f t="shared" si="1"/>
        <v>0</v>
      </c>
    </row>
    <row r="31" spans="1:8" ht="25.5">
      <c r="A31" s="446">
        <v>9.1</v>
      </c>
      <c r="B31" s="448" t="s">
        <v>831</v>
      </c>
      <c r="C31" s="722"/>
      <c r="D31" s="722"/>
      <c r="E31" s="723">
        <f t="shared" si="0"/>
        <v>0</v>
      </c>
      <c r="F31" s="722"/>
      <c r="G31" s="722"/>
      <c r="H31" s="724">
        <f t="shared" si="1"/>
        <v>0</v>
      </c>
    </row>
    <row r="32" spans="1:8" ht="25.5">
      <c r="A32" s="446">
        <v>9.1999999999999993</v>
      </c>
      <c r="B32" s="448" t="s">
        <v>832</v>
      </c>
      <c r="C32" s="722"/>
      <c r="D32" s="722"/>
      <c r="E32" s="723">
        <f t="shared" si="0"/>
        <v>0</v>
      </c>
      <c r="F32" s="722"/>
      <c r="G32" s="722"/>
      <c r="H32" s="724">
        <f t="shared" si="1"/>
        <v>0</v>
      </c>
    </row>
    <row r="33" spans="1:8" ht="25.5">
      <c r="A33" s="446">
        <v>9.3000000000000007</v>
      </c>
      <c r="B33" s="448" t="s">
        <v>833</v>
      </c>
      <c r="C33" s="722"/>
      <c r="D33" s="722"/>
      <c r="E33" s="723">
        <f t="shared" si="0"/>
        <v>0</v>
      </c>
      <c r="F33" s="722"/>
      <c r="G33" s="722"/>
      <c r="H33" s="724">
        <f t="shared" si="1"/>
        <v>0</v>
      </c>
    </row>
    <row r="34" spans="1:8" ht="15.75">
      <c r="A34" s="446">
        <v>9.4</v>
      </c>
      <c r="B34" s="448" t="s">
        <v>834</v>
      </c>
      <c r="C34" s="722"/>
      <c r="D34" s="722"/>
      <c r="E34" s="723">
        <f t="shared" si="0"/>
        <v>0</v>
      </c>
      <c r="F34" s="722"/>
      <c r="G34" s="722"/>
      <c r="H34" s="724">
        <f t="shared" si="1"/>
        <v>0</v>
      </c>
    </row>
    <row r="35" spans="1:8" ht="15.75">
      <c r="A35" s="446">
        <v>9.5</v>
      </c>
      <c r="B35" s="448" t="s">
        <v>835</v>
      </c>
      <c r="C35" s="722"/>
      <c r="D35" s="722"/>
      <c r="E35" s="723">
        <f t="shared" si="0"/>
        <v>0</v>
      </c>
      <c r="F35" s="722"/>
      <c r="G35" s="722"/>
      <c r="H35" s="724">
        <f t="shared" si="1"/>
        <v>0</v>
      </c>
    </row>
    <row r="36" spans="1:8" ht="25.5">
      <c r="A36" s="446">
        <v>9.6</v>
      </c>
      <c r="B36" s="448" t="s">
        <v>836</v>
      </c>
      <c r="C36" s="722"/>
      <c r="D36" s="722"/>
      <c r="E36" s="723">
        <f t="shared" si="0"/>
        <v>0</v>
      </c>
      <c r="F36" s="722"/>
      <c r="G36" s="722"/>
      <c r="H36" s="724">
        <f t="shared" si="1"/>
        <v>0</v>
      </c>
    </row>
    <row r="37" spans="1:8" ht="25.5">
      <c r="A37" s="446">
        <v>9.6999999999999993</v>
      </c>
      <c r="B37" s="448" t="s">
        <v>837</v>
      </c>
      <c r="C37" s="722"/>
      <c r="D37" s="722"/>
      <c r="E37" s="723">
        <f t="shared" si="0"/>
        <v>0</v>
      </c>
      <c r="F37" s="722"/>
      <c r="G37" s="722"/>
      <c r="H37" s="724">
        <f t="shared" si="1"/>
        <v>0</v>
      </c>
    </row>
    <row r="38" spans="1:8" ht="15.75">
      <c r="A38" s="446">
        <v>10</v>
      </c>
      <c r="B38" s="453" t="s">
        <v>838</v>
      </c>
      <c r="C38" s="722">
        <v>21468229.469999999</v>
      </c>
      <c r="D38" s="722">
        <v>12730052.82</v>
      </c>
      <c r="E38" s="723">
        <f t="shared" si="0"/>
        <v>34198282.289999999</v>
      </c>
      <c r="F38" s="722">
        <v>18651759.170000002</v>
      </c>
      <c r="G38" s="722">
        <v>8350987.4499999993</v>
      </c>
      <c r="H38" s="724">
        <f t="shared" si="1"/>
        <v>27002746.620000001</v>
      </c>
    </row>
    <row r="39" spans="1:8" ht="34.9" customHeight="1">
      <c r="A39" s="446">
        <v>10.1</v>
      </c>
      <c r="B39" s="448" t="s">
        <v>839</v>
      </c>
      <c r="C39" s="722">
        <v>0</v>
      </c>
      <c r="D39" s="722">
        <v>0</v>
      </c>
      <c r="E39" s="723">
        <f t="shared" si="0"/>
        <v>0</v>
      </c>
      <c r="F39" s="722">
        <v>0</v>
      </c>
      <c r="G39" s="722">
        <v>0</v>
      </c>
      <c r="H39" s="724">
        <f t="shared" si="1"/>
        <v>0</v>
      </c>
    </row>
    <row r="40" spans="1:8" ht="25.5">
      <c r="A40" s="446">
        <v>10.199999999999999</v>
      </c>
      <c r="B40" s="448" t="s">
        <v>840</v>
      </c>
      <c r="C40" s="722">
        <v>0</v>
      </c>
      <c r="D40" s="722">
        <v>0</v>
      </c>
      <c r="E40" s="723">
        <f t="shared" si="0"/>
        <v>0</v>
      </c>
      <c r="F40" s="722">
        <v>0</v>
      </c>
      <c r="G40" s="722">
        <v>0</v>
      </c>
      <c r="H40" s="724">
        <f t="shared" si="1"/>
        <v>0</v>
      </c>
    </row>
    <row r="41" spans="1:8" ht="25.5">
      <c r="A41" s="446">
        <v>10.3</v>
      </c>
      <c r="B41" s="448" t="s">
        <v>841</v>
      </c>
      <c r="C41" s="722">
        <v>11029992.689999999</v>
      </c>
      <c r="D41" s="722">
        <v>1917607.66</v>
      </c>
      <c r="E41" s="723">
        <f t="shared" si="0"/>
        <v>12947600.35</v>
      </c>
      <c r="F41" s="722">
        <v>11165789.6</v>
      </c>
      <c r="G41" s="722">
        <v>1843471.6799999997</v>
      </c>
      <c r="H41" s="724">
        <f t="shared" si="1"/>
        <v>13009261.279999999</v>
      </c>
    </row>
    <row r="42" spans="1:8" ht="25.5">
      <c r="A42" s="446">
        <v>10.4</v>
      </c>
      <c r="B42" s="448" t="s">
        <v>842</v>
      </c>
      <c r="C42" s="722">
        <v>10438236.779999999</v>
      </c>
      <c r="D42" s="722">
        <v>10812445.16</v>
      </c>
      <c r="E42" s="723">
        <f t="shared" si="0"/>
        <v>21250681.939999998</v>
      </c>
      <c r="F42" s="722">
        <v>7485969.5700000003</v>
      </c>
      <c r="G42" s="722">
        <v>6507515.7699999996</v>
      </c>
      <c r="H42" s="724">
        <f t="shared" si="1"/>
        <v>13993485.34</v>
      </c>
    </row>
    <row r="43" spans="1:8" ht="15.75">
      <c r="A43" s="446">
        <v>11</v>
      </c>
      <c r="B43" s="454" t="s">
        <v>186</v>
      </c>
      <c r="C43" s="722"/>
      <c r="D43" s="722"/>
      <c r="E43" s="723">
        <f t="shared" si="0"/>
        <v>0</v>
      </c>
      <c r="F43" s="722"/>
      <c r="G43" s="722"/>
      <c r="H43" s="724">
        <f t="shared" si="1"/>
        <v>0</v>
      </c>
    </row>
    <row r="44" spans="1:8" ht="15.75">
      <c r="C44" s="456"/>
      <c r="D44" s="456"/>
      <c r="E44" s="456"/>
      <c r="F44" s="456"/>
      <c r="G44" s="456"/>
      <c r="H44" s="456"/>
    </row>
    <row r="45" spans="1:8" ht="15.75">
      <c r="C45" s="456"/>
      <c r="D45" s="456"/>
      <c r="E45" s="456"/>
      <c r="F45" s="456"/>
      <c r="G45" s="456"/>
      <c r="H45" s="456"/>
    </row>
    <row r="46" spans="1:8" ht="15.75">
      <c r="C46" s="456"/>
      <c r="D46" s="456"/>
      <c r="E46" s="456"/>
      <c r="F46" s="456"/>
      <c r="G46" s="456"/>
      <c r="H46" s="456"/>
    </row>
    <row r="47" spans="1:8" ht="15.75">
      <c r="C47" s="456"/>
      <c r="D47" s="456"/>
      <c r="E47" s="456"/>
      <c r="F47" s="456"/>
      <c r="G47" s="456"/>
      <c r="H47" s="456"/>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5" width="15.42578125" style="12" customWidth="1"/>
    <col min="6" max="6" width="11.28515625" style="12" bestFit="1" customWidth="1"/>
    <col min="7" max="7" width="28" style="12" customWidth="1"/>
    <col min="8" max="11" width="9.7109375" style="12" customWidth="1"/>
    <col min="12" max="16384" width="9.28515625" style="12"/>
  </cols>
  <sheetData>
    <row r="1" spans="1:8" ht="15">
      <c r="A1" s="17" t="s">
        <v>108</v>
      </c>
      <c r="B1" s="16" t="str">
        <f>Info!C2</f>
        <v>JSC "VTB Bank (Georgia)"</v>
      </c>
      <c r="C1" s="16"/>
      <c r="D1" s="227"/>
    </row>
    <row r="2" spans="1:8" ht="15">
      <c r="A2" s="17" t="s">
        <v>109</v>
      </c>
      <c r="B2" s="337">
        <f>Info!D2</f>
        <v>45657</v>
      </c>
      <c r="C2" s="29"/>
      <c r="D2" s="18"/>
      <c r="E2" s="11"/>
      <c r="F2" s="11"/>
      <c r="G2" s="11"/>
      <c r="H2" s="11"/>
    </row>
    <row r="3" spans="1:8" ht="15.75" thickBot="1">
      <c r="A3" s="17"/>
      <c r="B3" s="16"/>
      <c r="C3" s="29"/>
      <c r="D3" s="18"/>
      <c r="E3" s="11"/>
      <c r="F3" s="11"/>
      <c r="G3" s="11"/>
      <c r="H3" s="11"/>
    </row>
    <row r="4" spans="1:8" s="794" customFormat="1" ht="58.5" customHeight="1" thickBot="1">
      <c r="A4" s="791" t="s">
        <v>253</v>
      </c>
      <c r="B4" s="792" t="s">
        <v>107</v>
      </c>
      <c r="C4" s="790" t="s">
        <v>87</v>
      </c>
      <c r="D4" s="793"/>
      <c r="G4" s="795" t="s">
        <v>984</v>
      </c>
    </row>
    <row r="5" spans="1:8" ht="15" customHeight="1">
      <c r="A5" s="152" t="s">
        <v>25</v>
      </c>
      <c r="B5" s="153"/>
      <c r="C5" s="327" t="str">
        <f>INT((MONTH($B$2))/3)&amp;"Q"&amp;"-"&amp;YEAR($B$2)</f>
        <v>4Q-2024</v>
      </c>
      <c r="D5" s="327" t="str">
        <f>IF(INT(MONTH($B$2))=3, "4"&amp;"Q"&amp;"-"&amp;YEAR($B$2)-1, IF(INT(MONTH($B$2))=6, "1"&amp;"Q"&amp;"-"&amp;YEAR($B$2), IF(INT(MONTH($B$2))=9, "2"&amp;"Q"&amp;"-"&amp;YEAR($B$2),IF(INT(MONTH($B$2))=12, "3"&amp;"Q"&amp;"-"&amp;YEAR($B$2), 0))))</f>
        <v>3Q-2024</v>
      </c>
      <c r="E5" s="327" t="str">
        <f>IF(INT(MONTH($B$2))=3, "3"&amp;"Q"&amp;"-"&amp;YEAR($B$2)-1, IF(INT(MONTH($B$2))=6, "4"&amp;"Q"&amp;"-"&amp;YEAR($B$2)-1, IF(INT(MONTH($B$2))=9, "1"&amp;"Q"&amp;"-"&amp;YEAR($B$2),IF(INT(MONTH($B$2))=12, "2"&amp;"Q"&amp;"-"&amp;YEAR($B$2), 0))))</f>
        <v>2Q-2024</v>
      </c>
      <c r="F5" s="327" t="str">
        <f>IF(INT(MONTH($B$2))=3, "2"&amp;"Q"&amp;"-"&amp;YEAR($B$2)-1, IF(INT(MONTH($B$2))=6, "3"&amp;"Q"&amp;"-"&amp;YEAR($B$2)-1, IF(INT(MONTH($B$2))=9, "4"&amp;"Q"&amp;"-"&amp;YEAR($B$2)-1,IF(INT(MONTH($B$2))=12, "1"&amp;"Q"&amp;"-"&amp;YEAR($B$2), 0))))</f>
        <v>1Q-2024</v>
      </c>
      <c r="G5" s="327" t="str">
        <f>IF(INT(MONTH($B$2))=3, "1"&amp;"Q"&amp;"-"&amp;YEAR($B$2)-1, IF(INT(MONTH($B$2))=6, "2"&amp;"Q"&amp;"-"&amp;YEAR($B$2)-1, IF(INT(MONTH($B$2))=9, "3"&amp;"Q"&amp;"-"&amp;YEAR($B$2)-1,IF(INT(MONTH($B$2))=12, "4"&amp;"Q"&amp;"-"&amp;YEAR($B$2)-1, 0))))</f>
        <v>4Q-2023</v>
      </c>
    </row>
    <row r="6" spans="1:8" ht="15" customHeight="1">
      <c r="A6" s="263">
        <v>1</v>
      </c>
      <c r="B6" s="313" t="s">
        <v>112</v>
      </c>
      <c r="C6" s="264">
        <f>C7+C9+C10</f>
        <v>289607085.6474117</v>
      </c>
      <c r="D6" s="316">
        <f>D7+D9+D10</f>
        <v>300815922.62531</v>
      </c>
      <c r="E6" s="265">
        <f t="shared" ref="E6:G6" si="0">E7+E9+E10</f>
        <v>310114061.63538712</v>
      </c>
      <c r="F6" s="264">
        <f t="shared" si="0"/>
        <v>305381708.72451621</v>
      </c>
      <c r="G6" s="317">
        <f t="shared" si="0"/>
        <v>262738589</v>
      </c>
    </row>
    <row r="7" spans="1:8" ht="15" customHeight="1">
      <c r="A7" s="263">
        <v>1.1000000000000001</v>
      </c>
      <c r="B7" s="266" t="s">
        <v>436</v>
      </c>
      <c r="C7" s="701">
        <v>289514442.48778641</v>
      </c>
      <c r="D7" s="701">
        <v>300723402.82530999</v>
      </c>
      <c r="E7" s="701">
        <v>310026244.58038962</v>
      </c>
      <c r="F7" s="702">
        <v>305250615.29279292</v>
      </c>
      <c r="G7" s="701">
        <v>252343458</v>
      </c>
    </row>
    <row r="8" spans="1:8" ht="25.5">
      <c r="A8" s="263" t="s">
        <v>157</v>
      </c>
      <c r="B8" s="267" t="s">
        <v>250</v>
      </c>
      <c r="C8" s="701">
        <v>792472.5</v>
      </c>
      <c r="D8" s="701">
        <v>0</v>
      </c>
      <c r="E8" s="701">
        <v>0</v>
      </c>
      <c r="F8" s="702">
        <v>0</v>
      </c>
      <c r="G8" s="701">
        <v>0</v>
      </c>
    </row>
    <row r="9" spans="1:8" ht="15" customHeight="1">
      <c r="A9" s="263">
        <v>1.2</v>
      </c>
      <c r="B9" s="266" t="s">
        <v>21</v>
      </c>
      <c r="C9" s="701">
        <v>92643.159625306376</v>
      </c>
      <c r="D9" s="701">
        <v>92519.8</v>
      </c>
      <c r="E9" s="701">
        <v>87817.054997499916</v>
      </c>
      <c r="F9" s="702">
        <v>131093.43172326882</v>
      </c>
      <c r="G9" s="701">
        <v>10395131</v>
      </c>
    </row>
    <row r="10" spans="1:8" ht="15" customHeight="1">
      <c r="A10" s="263">
        <v>1.3</v>
      </c>
      <c r="B10" s="314" t="s">
        <v>74</v>
      </c>
      <c r="C10" s="703">
        <v>0</v>
      </c>
      <c r="D10" s="703">
        <v>0</v>
      </c>
      <c r="E10" s="703">
        <v>0</v>
      </c>
      <c r="F10" s="702">
        <v>0</v>
      </c>
      <c r="G10" s="703">
        <v>0</v>
      </c>
    </row>
    <row r="11" spans="1:8" ht="15" customHeight="1">
      <c r="A11" s="263">
        <v>2</v>
      </c>
      <c r="B11" s="313" t="s">
        <v>113</v>
      </c>
      <c r="C11" s="701">
        <v>186812095.97714475</v>
      </c>
      <c r="D11" s="701">
        <v>188868827.36185053</v>
      </c>
      <c r="E11" s="701">
        <v>190200488.01198363</v>
      </c>
      <c r="F11" s="702">
        <v>181081494.18333694</v>
      </c>
      <c r="G11" s="701">
        <v>169667044</v>
      </c>
    </row>
    <row r="12" spans="1:8" ht="15" customHeight="1">
      <c r="A12" s="277">
        <v>3</v>
      </c>
      <c r="B12" s="315" t="s">
        <v>111</v>
      </c>
      <c r="C12" s="703">
        <v>61890734.110378385</v>
      </c>
      <c r="D12" s="703">
        <v>94935796.149143949</v>
      </c>
      <c r="E12" s="703">
        <v>94935796.149143949</v>
      </c>
      <c r="F12" s="702">
        <v>94935796.149143949</v>
      </c>
      <c r="G12" s="703">
        <v>127656077</v>
      </c>
    </row>
    <row r="13" spans="1:8" ht="15" customHeight="1" thickBot="1">
      <c r="A13" s="85">
        <v>4</v>
      </c>
      <c r="B13" s="320" t="s">
        <v>158</v>
      </c>
      <c r="C13" s="171">
        <f>C6+C11+C12</f>
        <v>538309915.73493481</v>
      </c>
      <c r="D13" s="318">
        <f>D6+D11+D12</f>
        <v>584620546.1363045</v>
      </c>
      <c r="E13" s="172">
        <f t="shared" ref="E13:G13" si="1">E6+E11+E12</f>
        <v>595250345.79651475</v>
      </c>
      <c r="F13" s="171">
        <f t="shared" si="1"/>
        <v>581398999.05699706</v>
      </c>
      <c r="G13" s="319">
        <f t="shared" si="1"/>
        <v>560061710</v>
      </c>
    </row>
    <row r="14" spans="1:8">
      <c r="B14" s="23"/>
      <c r="C14" s="661">
        <f>C13-'1. key ratios'!C15</f>
        <v>0</v>
      </c>
      <c r="D14" s="661">
        <f>D13-'1. key ratios'!D15</f>
        <v>0</v>
      </c>
      <c r="E14" s="661">
        <f>E13-'1. key ratios'!E15</f>
        <v>0</v>
      </c>
      <c r="F14" s="661">
        <f>F13-'1. key ratios'!F15</f>
        <v>0</v>
      </c>
      <c r="G14" s="661"/>
    </row>
    <row r="15" spans="1:8" ht="25.5">
      <c r="B15" s="66" t="s">
        <v>437</v>
      </c>
    </row>
    <row r="16" spans="1:8">
      <c r="B16" s="66"/>
    </row>
    <row r="17" spans="2:2" ht="25.5">
      <c r="B17" s="66" t="s">
        <v>983</v>
      </c>
    </row>
    <row r="18" spans="2:2">
      <c r="B18" s="6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Normal="100" workbookViewId="0">
      <pane xSplit="1" ySplit="4" topLeftCell="B18" activePane="bottomRight" state="frozen"/>
      <selection activeCell="B2" sqref="B2"/>
      <selection pane="topRight" activeCell="B2" sqref="B2"/>
      <selection pane="bottomLeft" activeCell="B2" sqref="B2"/>
      <selection pane="bottomRight" activeCell="A34" sqref="A34"/>
    </sheetView>
  </sheetViews>
  <sheetFormatPr defaultRowHeight="15"/>
  <cols>
    <col min="1" max="1" width="9.5703125" style="2" bestFit="1" customWidth="1"/>
    <col min="2" max="2" width="58.7109375" style="2" customWidth="1"/>
    <col min="3" max="3" width="34.28515625" style="2" customWidth="1"/>
  </cols>
  <sheetData>
    <row r="1" spans="1:8">
      <c r="A1" s="2" t="s">
        <v>108</v>
      </c>
      <c r="B1" s="227" t="str">
        <f>Info!C2</f>
        <v>JSC "VTB Bank (Georgia)"</v>
      </c>
    </row>
    <row r="2" spans="1:8">
      <c r="A2" s="2" t="s">
        <v>109</v>
      </c>
      <c r="B2" s="337">
        <f>Info!D2</f>
        <v>45657</v>
      </c>
    </row>
    <row r="4" spans="1:8" ht="25.5" customHeight="1" thickBot="1">
      <c r="A4" s="165" t="s">
        <v>254</v>
      </c>
      <c r="B4" s="31" t="s">
        <v>91</v>
      </c>
      <c r="C4" s="13"/>
    </row>
    <row r="5" spans="1:8" ht="15.75">
      <c r="A5" s="10"/>
      <c r="B5" s="308" t="s">
        <v>92</v>
      </c>
      <c r="C5" s="325" t="s">
        <v>450</v>
      </c>
    </row>
    <row r="6" spans="1:8">
      <c r="A6" s="672">
        <v>1</v>
      </c>
      <c r="B6" s="671" t="s">
        <v>963</v>
      </c>
      <c r="C6" s="670" t="s">
        <v>964</v>
      </c>
    </row>
    <row r="7" spans="1:8">
      <c r="A7" s="672">
        <v>2</v>
      </c>
      <c r="B7" s="671" t="s">
        <v>965</v>
      </c>
      <c r="C7" s="670" t="s">
        <v>966</v>
      </c>
    </row>
    <row r="8" spans="1:8">
      <c r="A8" s="672">
        <v>3</v>
      </c>
      <c r="B8" s="671" t="s">
        <v>967</v>
      </c>
      <c r="C8" s="670" t="s">
        <v>966</v>
      </c>
    </row>
    <row r="9" spans="1:8">
      <c r="A9" s="672">
        <v>4</v>
      </c>
      <c r="B9" s="671" t="s">
        <v>986</v>
      </c>
      <c r="C9" s="670" t="s">
        <v>966</v>
      </c>
    </row>
    <row r="10" spans="1:8">
      <c r="A10" s="14">
        <v>5</v>
      </c>
      <c r="B10" s="32"/>
      <c r="C10" s="321"/>
    </row>
    <row r="11" spans="1:8">
      <c r="A11" s="14">
        <v>6</v>
      </c>
      <c r="B11" s="32"/>
      <c r="C11" s="321"/>
    </row>
    <row r="12" spans="1:8">
      <c r="A12" s="14">
        <v>7</v>
      </c>
      <c r="B12" s="32"/>
      <c r="C12" s="321"/>
      <c r="H12" s="4"/>
    </row>
    <row r="13" spans="1:8">
      <c r="A13" s="14">
        <v>8</v>
      </c>
      <c r="B13" s="32"/>
      <c r="C13" s="321"/>
    </row>
    <row r="14" spans="1:8">
      <c r="A14" s="14">
        <v>9</v>
      </c>
      <c r="B14" s="32"/>
      <c r="C14" s="321"/>
    </row>
    <row r="15" spans="1:8">
      <c r="A15" s="14">
        <v>10</v>
      </c>
      <c r="B15" s="32"/>
      <c r="C15" s="321"/>
    </row>
    <row r="16" spans="1:8">
      <c r="A16" s="14"/>
      <c r="B16" s="824"/>
      <c r="C16" s="825"/>
    </row>
    <row r="17" spans="1:3" ht="60">
      <c r="A17" s="14"/>
      <c r="B17" s="309" t="s">
        <v>93</v>
      </c>
      <c r="C17" s="326" t="s">
        <v>451</v>
      </c>
    </row>
    <row r="18" spans="1:3" ht="15.75">
      <c r="A18" s="672">
        <v>1</v>
      </c>
      <c r="B18" s="669" t="s">
        <v>968</v>
      </c>
      <c r="C18" s="668" t="s">
        <v>969</v>
      </c>
    </row>
    <row r="19" spans="1:3" ht="15.75">
      <c r="A19" s="672">
        <v>2</v>
      </c>
      <c r="B19" s="669" t="s">
        <v>970</v>
      </c>
      <c r="C19" s="668" t="s">
        <v>971</v>
      </c>
    </row>
    <row r="20" spans="1:3" ht="15.75">
      <c r="A20" s="672">
        <v>3</v>
      </c>
      <c r="B20" s="669" t="s">
        <v>972</v>
      </c>
      <c r="C20" s="668" t="s">
        <v>973</v>
      </c>
    </row>
    <row r="21" spans="1:3" ht="15.75">
      <c r="A21" s="672">
        <v>4</v>
      </c>
      <c r="B21" s="669" t="s">
        <v>974</v>
      </c>
      <c r="C21" s="668" t="s">
        <v>975</v>
      </c>
    </row>
    <row r="22" spans="1:3" ht="15.75">
      <c r="A22" s="672">
        <v>5</v>
      </c>
      <c r="B22" s="669" t="s">
        <v>976</v>
      </c>
      <c r="C22" s="668" t="s">
        <v>977</v>
      </c>
    </row>
    <row r="23" spans="1:3" ht="15.75">
      <c r="A23" s="672">
        <v>6</v>
      </c>
      <c r="B23" s="669" t="s">
        <v>978</v>
      </c>
      <c r="C23" s="668" t="s">
        <v>979</v>
      </c>
    </row>
    <row r="24" spans="1:3" ht="15.75">
      <c r="A24" s="14">
        <v>7</v>
      </c>
      <c r="B24" s="27"/>
      <c r="C24" s="323"/>
    </row>
    <row r="25" spans="1:3" ht="15.75">
      <c r="A25" s="14">
        <v>8</v>
      </c>
      <c r="B25" s="27"/>
      <c r="C25" s="323"/>
    </row>
    <row r="26" spans="1:3" ht="15.75">
      <c r="A26" s="14">
        <v>9</v>
      </c>
      <c r="B26" s="27"/>
      <c r="C26" s="323"/>
    </row>
    <row r="27" spans="1:3" ht="15.75" customHeight="1">
      <c r="A27" s="14">
        <v>10</v>
      </c>
      <c r="B27" s="27"/>
      <c r="C27" s="324"/>
    </row>
    <row r="28" spans="1:3" ht="15.75" customHeight="1">
      <c r="A28" s="14"/>
      <c r="B28" s="27"/>
      <c r="C28" s="28"/>
    </row>
    <row r="29" spans="1:3" ht="30" customHeight="1">
      <c r="A29" s="14"/>
      <c r="B29" s="826" t="s">
        <v>94</v>
      </c>
      <c r="C29" s="827"/>
    </row>
    <row r="30" spans="1:3">
      <c r="A30" s="14">
        <v>1</v>
      </c>
      <c r="B30" s="671" t="s">
        <v>980</v>
      </c>
      <c r="C30" s="667">
        <v>0.97384321770185212</v>
      </c>
    </row>
    <row r="31" spans="1:3" ht="15.75" customHeight="1">
      <c r="A31" s="14">
        <v>2</v>
      </c>
      <c r="B31" s="671" t="s">
        <v>981</v>
      </c>
      <c r="C31" s="667">
        <v>1.472765597699272E-2</v>
      </c>
    </row>
    <row r="32" spans="1:3" ht="29.25" customHeight="1">
      <c r="A32" s="14"/>
      <c r="B32" s="826" t="s">
        <v>174</v>
      </c>
      <c r="C32" s="827"/>
    </row>
    <row r="33" spans="1:3">
      <c r="A33" s="14">
        <v>1</v>
      </c>
      <c r="B33" s="671" t="s">
        <v>982</v>
      </c>
      <c r="C33" s="666">
        <v>0.60183510853974465</v>
      </c>
    </row>
    <row r="34" spans="1:3" ht="16.5" thickBot="1">
      <c r="A34" s="15"/>
      <c r="B34" s="33"/>
      <c r="C34" s="322"/>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70" zoomScaleNormal="70" workbookViewId="0">
      <pane xSplit="1" ySplit="5" topLeftCell="B26" activePane="bottomRight" state="frozen"/>
      <selection activeCell="B2" sqref="B2"/>
      <selection pane="topRight" activeCell="B2" sqref="B2"/>
      <selection pane="bottomLeft" activeCell="B2" sqref="B2"/>
      <selection pane="bottomRight" activeCell="C8" sqref="C8:E36"/>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JSC "VTB Bank (Georgia)"</v>
      </c>
    </row>
    <row r="2" spans="1:7" s="21" customFormat="1" ht="15.75" customHeight="1">
      <c r="A2" s="21" t="s">
        <v>109</v>
      </c>
      <c r="B2" s="337">
        <f>Info!D2</f>
        <v>45657</v>
      </c>
    </row>
    <row r="3" spans="1:7" s="21" customFormat="1" ht="15.75" customHeight="1"/>
    <row r="4" spans="1:7" s="21" customFormat="1" ht="15.75" customHeight="1" thickBot="1">
      <c r="A4" s="166" t="s">
        <v>255</v>
      </c>
      <c r="B4" s="167" t="s">
        <v>168</v>
      </c>
      <c r="C4" s="134"/>
      <c r="D4" s="134"/>
      <c r="E4" s="135" t="s">
        <v>87</v>
      </c>
    </row>
    <row r="5" spans="1:7" s="81" customFormat="1" ht="17.850000000000001" customHeight="1">
      <c r="A5" s="239"/>
      <c r="B5" s="240"/>
      <c r="C5" s="133" t="s">
        <v>0</v>
      </c>
      <c r="D5" s="133" t="s">
        <v>1</v>
      </c>
      <c r="E5" s="241" t="s">
        <v>2</v>
      </c>
    </row>
    <row r="6" spans="1:7" s="101" customFormat="1" ht="14.85" customHeight="1">
      <c r="A6" s="242"/>
      <c r="B6" s="828" t="s">
        <v>144</v>
      </c>
      <c r="C6" s="828" t="s">
        <v>856</v>
      </c>
      <c r="D6" s="829" t="s">
        <v>143</v>
      </c>
      <c r="E6" s="830"/>
      <c r="G6"/>
    </row>
    <row r="7" spans="1:7" s="101" customFormat="1" ht="99.6" customHeight="1">
      <c r="A7" s="242"/>
      <c r="B7" s="828"/>
      <c r="C7" s="828"/>
      <c r="D7" s="237" t="s">
        <v>142</v>
      </c>
      <c r="E7" s="238" t="s">
        <v>353</v>
      </c>
      <c r="G7"/>
    </row>
    <row r="8" spans="1:7" s="101" customFormat="1" ht="22.5" customHeight="1">
      <c r="A8" s="458">
        <v>1</v>
      </c>
      <c r="B8" s="403" t="s">
        <v>843</v>
      </c>
      <c r="C8" s="744">
        <v>177116661.44420081</v>
      </c>
      <c r="D8" s="744">
        <v>0</v>
      </c>
      <c r="E8" s="744">
        <v>177116661.44420081</v>
      </c>
      <c r="G8"/>
    </row>
    <row r="9" spans="1:7" s="101" customFormat="1">
      <c r="A9" s="458">
        <v>1.1000000000000001</v>
      </c>
      <c r="B9" s="404" t="s">
        <v>96</v>
      </c>
      <c r="C9" s="744">
        <v>170288482.97579998</v>
      </c>
      <c r="D9" s="744">
        <v>0</v>
      </c>
      <c r="E9" s="744">
        <v>170288482.97579998</v>
      </c>
      <c r="G9"/>
    </row>
    <row r="10" spans="1:7" s="101" customFormat="1">
      <c r="A10" s="458">
        <v>1.2</v>
      </c>
      <c r="B10" s="404" t="s">
        <v>97</v>
      </c>
      <c r="C10" s="744">
        <v>351.36</v>
      </c>
      <c r="D10" s="744">
        <v>0</v>
      </c>
      <c r="E10" s="744">
        <v>351.36</v>
      </c>
      <c r="G10"/>
    </row>
    <row r="11" spans="1:7" s="101" customFormat="1">
      <c r="A11" s="458">
        <v>1.3</v>
      </c>
      <c r="B11" s="404" t="s">
        <v>98</v>
      </c>
      <c r="C11" s="744">
        <v>6827827.1084008301</v>
      </c>
      <c r="D11" s="744">
        <v>0</v>
      </c>
      <c r="E11" s="744">
        <v>6827827.1084008301</v>
      </c>
      <c r="G11"/>
    </row>
    <row r="12" spans="1:7" s="101" customFormat="1">
      <c r="A12" s="458">
        <v>2</v>
      </c>
      <c r="B12" s="405" t="s">
        <v>730</v>
      </c>
      <c r="C12" s="744"/>
      <c r="D12" s="744"/>
      <c r="E12" s="744">
        <v>0</v>
      </c>
      <c r="G12"/>
    </row>
    <row r="13" spans="1:7" s="101" customFormat="1" ht="21">
      <c r="A13" s="458">
        <v>2.1</v>
      </c>
      <c r="B13" s="406" t="s">
        <v>731</v>
      </c>
      <c r="C13" s="744"/>
      <c r="D13" s="744"/>
      <c r="E13" s="744">
        <v>0</v>
      </c>
      <c r="G13"/>
    </row>
    <row r="14" spans="1:7" s="101" customFormat="1" ht="34.35" customHeight="1">
      <c r="A14" s="458">
        <v>3</v>
      </c>
      <c r="B14" s="407" t="s">
        <v>732</v>
      </c>
      <c r="C14" s="744"/>
      <c r="D14" s="744"/>
      <c r="E14" s="744">
        <v>0</v>
      </c>
      <c r="G14"/>
    </row>
    <row r="15" spans="1:7" s="101" customFormat="1" ht="32.85" customHeight="1">
      <c r="A15" s="458">
        <v>4</v>
      </c>
      <c r="B15" s="408" t="s">
        <v>733</v>
      </c>
      <c r="C15" s="744"/>
      <c r="D15" s="744"/>
      <c r="E15" s="744">
        <v>0</v>
      </c>
      <c r="G15"/>
    </row>
    <row r="16" spans="1:7" s="101" customFormat="1" ht="23.1" customHeight="1">
      <c r="A16" s="458">
        <v>5</v>
      </c>
      <c r="B16" s="408" t="s">
        <v>734</v>
      </c>
      <c r="C16" s="744">
        <v>54000</v>
      </c>
      <c r="D16" s="744">
        <v>0</v>
      </c>
      <c r="E16" s="744">
        <v>54000</v>
      </c>
      <c r="G16"/>
    </row>
    <row r="17" spans="1:7" s="101" customFormat="1">
      <c r="A17" s="458">
        <v>5.0999999999999996</v>
      </c>
      <c r="B17" s="409" t="s">
        <v>735</v>
      </c>
      <c r="C17" s="744">
        <v>54000</v>
      </c>
      <c r="D17" s="744"/>
      <c r="E17" s="744">
        <v>54000</v>
      </c>
      <c r="G17"/>
    </row>
    <row r="18" spans="1:7" s="101" customFormat="1">
      <c r="A18" s="458">
        <v>5.2</v>
      </c>
      <c r="B18" s="409" t="s">
        <v>569</v>
      </c>
      <c r="C18" s="744"/>
      <c r="D18" s="744"/>
      <c r="E18" s="744">
        <v>0</v>
      </c>
      <c r="G18"/>
    </row>
    <row r="19" spans="1:7" s="101" customFormat="1">
      <c r="A19" s="458">
        <v>5.3</v>
      </c>
      <c r="B19" s="409" t="s">
        <v>736</v>
      </c>
      <c r="C19" s="744"/>
      <c r="D19" s="744"/>
      <c r="E19" s="744">
        <v>0</v>
      </c>
      <c r="G19"/>
    </row>
    <row r="20" spans="1:7" s="101" customFormat="1" ht="21">
      <c r="A20" s="458">
        <v>6</v>
      </c>
      <c r="B20" s="407" t="s">
        <v>737</v>
      </c>
      <c r="C20" s="744">
        <v>171710196.38760653</v>
      </c>
      <c r="D20" s="744">
        <v>0</v>
      </c>
      <c r="E20" s="744">
        <v>171710196.38760653</v>
      </c>
      <c r="G20"/>
    </row>
    <row r="21" spans="1:7">
      <c r="A21" s="458">
        <v>6.1</v>
      </c>
      <c r="B21" s="409" t="s">
        <v>569</v>
      </c>
      <c r="C21" s="745"/>
      <c r="D21" s="745"/>
      <c r="E21" s="745">
        <v>0</v>
      </c>
    </row>
    <row r="22" spans="1:7">
      <c r="A22" s="458">
        <v>6.2</v>
      </c>
      <c r="B22" s="409" t="s">
        <v>736</v>
      </c>
      <c r="C22" s="745">
        <v>171710196.38760653</v>
      </c>
      <c r="D22" s="745">
        <v>0</v>
      </c>
      <c r="E22" s="744">
        <v>171710196.38760653</v>
      </c>
    </row>
    <row r="23" spans="1:7" ht="21">
      <c r="A23" s="458">
        <v>7</v>
      </c>
      <c r="B23" s="410" t="s">
        <v>738</v>
      </c>
      <c r="C23" s="745">
        <v>0</v>
      </c>
      <c r="D23" s="745">
        <v>0</v>
      </c>
      <c r="E23" s="744">
        <v>0</v>
      </c>
    </row>
    <row r="24" spans="1:7" ht="21">
      <c r="A24" s="458">
        <v>8</v>
      </c>
      <c r="B24" s="411" t="s">
        <v>739</v>
      </c>
      <c r="C24" s="745"/>
      <c r="D24" s="745"/>
      <c r="E24" s="745">
        <v>0</v>
      </c>
    </row>
    <row r="25" spans="1:7">
      <c r="A25" s="458">
        <v>9</v>
      </c>
      <c r="B25" s="408" t="s">
        <v>740</v>
      </c>
      <c r="C25" s="745">
        <v>62111055.180000022</v>
      </c>
      <c r="D25" s="745">
        <v>0</v>
      </c>
      <c r="E25" s="745">
        <v>62111055.180000022</v>
      </c>
    </row>
    <row r="26" spans="1:7">
      <c r="A26" s="458">
        <v>9.1</v>
      </c>
      <c r="B26" s="412" t="s">
        <v>741</v>
      </c>
      <c r="C26" s="745">
        <v>34039514.18</v>
      </c>
      <c r="D26" s="745"/>
      <c r="E26" s="744">
        <v>34039514.18</v>
      </c>
    </row>
    <row r="27" spans="1:7">
      <c r="A27" s="458">
        <v>9.1999999999999993</v>
      </c>
      <c r="B27" s="412" t="s">
        <v>742</v>
      </c>
      <c r="C27" s="745">
        <v>28071541.000000019</v>
      </c>
      <c r="D27" s="745"/>
      <c r="E27" s="744">
        <v>28071541.000000019</v>
      </c>
    </row>
    <row r="28" spans="1:7">
      <c r="A28" s="458">
        <v>10</v>
      </c>
      <c r="B28" s="408" t="s">
        <v>36</v>
      </c>
      <c r="C28" s="745">
        <v>1014665.6400000001</v>
      </c>
      <c r="D28" s="745">
        <v>1014665.6400000001</v>
      </c>
      <c r="E28" s="745">
        <v>0</v>
      </c>
    </row>
    <row r="29" spans="1:7">
      <c r="A29" s="458">
        <v>10.1</v>
      </c>
      <c r="B29" s="412" t="s">
        <v>743</v>
      </c>
      <c r="C29" s="745">
        <v>0</v>
      </c>
      <c r="D29" s="745"/>
      <c r="E29" s="744">
        <v>0</v>
      </c>
    </row>
    <row r="30" spans="1:7">
      <c r="A30" s="458">
        <v>10.199999999999999</v>
      </c>
      <c r="B30" s="412" t="s">
        <v>744</v>
      </c>
      <c r="C30" s="745">
        <v>1014665.6400000001</v>
      </c>
      <c r="D30" s="745">
        <v>1014665.6400000001</v>
      </c>
      <c r="E30" s="744">
        <v>0</v>
      </c>
    </row>
    <row r="31" spans="1:7">
      <c r="A31" s="458">
        <v>11</v>
      </c>
      <c r="B31" s="408" t="s">
        <v>745</v>
      </c>
      <c r="C31" s="745">
        <v>1069675.9100000001</v>
      </c>
      <c r="D31" s="745">
        <v>0</v>
      </c>
      <c r="E31" s="745">
        <v>1069675.9100000001</v>
      </c>
    </row>
    <row r="32" spans="1:7">
      <c r="A32" s="458">
        <v>11.1</v>
      </c>
      <c r="B32" s="412" t="s">
        <v>746</v>
      </c>
      <c r="C32" s="745">
        <v>752686.91</v>
      </c>
      <c r="D32" s="745"/>
      <c r="E32" s="744">
        <v>752686.91</v>
      </c>
    </row>
    <row r="33" spans="1:7">
      <c r="A33" s="458">
        <v>11.2</v>
      </c>
      <c r="B33" s="412" t="s">
        <v>747</v>
      </c>
      <c r="C33" s="745">
        <v>316989</v>
      </c>
      <c r="D33" s="745"/>
      <c r="E33" s="744">
        <v>316989</v>
      </c>
    </row>
    <row r="34" spans="1:7">
      <c r="A34" s="458">
        <v>13</v>
      </c>
      <c r="B34" s="408" t="s">
        <v>99</v>
      </c>
      <c r="C34" s="745">
        <v>37478030.35069108</v>
      </c>
      <c r="D34" s="745"/>
      <c r="E34" s="744">
        <v>37478030.35069108</v>
      </c>
    </row>
    <row r="35" spans="1:7">
      <c r="A35" s="458">
        <v>13.1</v>
      </c>
      <c r="B35" s="413" t="s">
        <v>748</v>
      </c>
      <c r="C35" s="745">
        <v>21923263.27</v>
      </c>
      <c r="D35" s="745"/>
      <c r="E35" s="744">
        <v>21923263.27</v>
      </c>
    </row>
    <row r="36" spans="1:7">
      <c r="A36" s="458">
        <v>13.2</v>
      </c>
      <c r="B36" s="413" t="s">
        <v>749</v>
      </c>
      <c r="C36" s="460"/>
      <c r="D36" s="460"/>
      <c r="E36" s="459">
        <v>0</v>
      </c>
    </row>
    <row r="37" spans="1:7" ht="51.75" thickBot="1">
      <c r="A37" s="243"/>
      <c r="B37" s="244" t="s">
        <v>320</v>
      </c>
      <c r="C37" s="203">
        <f>SUM(C8,C12,C14,C15,C16,C20,C23,C24,C25,C28,C31,C34)</f>
        <v>450554284.91249847</v>
      </c>
      <c r="D37" s="203">
        <f t="shared" ref="D37:E37" si="0">SUM(D8,D12,D14,D15,D16,D20,D23,D24,D25,D28,D31,D34)</f>
        <v>1014665.6400000001</v>
      </c>
      <c r="E37" s="203">
        <f t="shared" si="0"/>
        <v>449539619.27249849</v>
      </c>
    </row>
    <row r="38" spans="1:7">
      <c r="A38"/>
      <c r="B38"/>
      <c r="C38" s="660">
        <f>C37-'2. SOFP'!E36</f>
        <v>0</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C6" sqref="C6"/>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JSC "VTB Bank (Georgia)"</v>
      </c>
    </row>
    <row r="2" spans="1:6" s="21" customFormat="1" ht="15.75" customHeight="1">
      <c r="A2" s="21" t="s">
        <v>109</v>
      </c>
      <c r="B2" s="337">
        <f>Info!D2</f>
        <v>45657</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3">
        <f>'7. LI1'!E37</f>
        <v>449539619.27249849</v>
      </c>
    </row>
    <row r="6" spans="1:6" s="126" customFormat="1">
      <c r="A6" s="80">
        <v>2.1</v>
      </c>
      <c r="B6" s="143" t="s">
        <v>861</v>
      </c>
      <c r="C6" s="174">
        <v>207823.25584563354</v>
      </c>
    </row>
    <row r="7" spans="1:6" s="4" customFormat="1" ht="25.5" outlineLevel="1">
      <c r="A7" s="142">
        <v>2.2000000000000002</v>
      </c>
      <c r="B7" s="138" t="s">
        <v>862</v>
      </c>
      <c r="C7" s="175"/>
    </row>
    <row r="8" spans="1:6" s="4" customFormat="1" ht="26.25">
      <c r="A8" s="142">
        <v>3</v>
      </c>
      <c r="B8" s="139" t="s">
        <v>728</v>
      </c>
      <c r="C8" s="176">
        <f>SUM(C5:C7)</f>
        <v>449747442.52834409</v>
      </c>
    </row>
    <row r="9" spans="1:6" s="126" customFormat="1">
      <c r="A9" s="80">
        <v>4</v>
      </c>
      <c r="B9" s="146" t="s">
        <v>169</v>
      </c>
      <c r="C9" s="174"/>
    </row>
    <row r="10" spans="1:6" s="4" customFormat="1" ht="25.5" outlineLevel="1">
      <c r="A10" s="142">
        <v>5.0999999999999996</v>
      </c>
      <c r="B10" s="138" t="s">
        <v>175</v>
      </c>
      <c r="C10" s="175">
        <v>-94407.909653431678</v>
      </c>
    </row>
    <row r="11" spans="1:6" s="4" customFormat="1" ht="25.5" outlineLevel="1">
      <c r="A11" s="142">
        <v>5.2</v>
      </c>
      <c r="B11" s="138" t="s">
        <v>176</v>
      </c>
      <c r="C11" s="175"/>
    </row>
    <row r="12" spans="1:6" s="4" customFormat="1">
      <c r="A12" s="142">
        <v>6</v>
      </c>
      <c r="B12" s="144" t="s">
        <v>438</v>
      </c>
      <c r="C12" s="245"/>
    </row>
    <row r="13" spans="1:6" s="4" customFormat="1" ht="15.75" thickBot="1">
      <c r="A13" s="145">
        <v>7</v>
      </c>
      <c r="B13" s="140" t="s">
        <v>170</v>
      </c>
      <c r="C13" s="177">
        <f>SUM(C8:C12)</f>
        <v>449653034.61869067</v>
      </c>
      <c r="D13" s="659"/>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2025-02-02T16:06:32Z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