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5" yWindow="-105" windowWidth="19395" windowHeight="10395" tabRatio="894"/>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10. CC2" sheetId="69" r:id="rId12"/>
    <sheet name="11. CRWA" sheetId="35" r:id="rId13"/>
    <sheet name="12. CRM" sheetId="64" r:id="rId14"/>
    <sheet name="13. CRME" sheetId="74" r:id="rId15"/>
    <sheet name="14. LCR" sheetId="36" r:id="rId16"/>
    <sheet name="15. CCR" sheetId="37" r:id="rId17"/>
    <sheet name="15.1. LR" sheetId="79" r:id="rId18"/>
    <sheet name="16. NSFR" sheetId="80" r:id="rId19"/>
    <sheet name=" 17. Residual Maturity" sheetId="95" r:id="rId20"/>
    <sheet name="18. Assets by Exposure classes" sheetId="96" r:id="rId21"/>
    <sheet name="19. Assets by Risk Sectors" sheetId="97" r:id="rId22"/>
    <sheet name="20. Reserves" sheetId="98" r:id="rId23"/>
    <sheet name="21. NPL" sheetId="99" r:id="rId24"/>
    <sheet name="22. Quality" sheetId="100" r:id="rId25"/>
    <sheet name="23. LTV" sheetId="101" r:id="rId26"/>
    <sheet name="24. Risk Sector" sheetId="102" r:id="rId27"/>
    <sheet name="25. Collateral" sheetId="103" r:id="rId28"/>
    <sheet name="26. Retail Products" sheetId="104" r:id="rId29"/>
    <sheet name="Instruction" sheetId="90" r:id="rId30"/>
  </sheets>
  <externalReferences>
    <externalReference r:id="rId31"/>
    <externalReference r:id="rId32"/>
    <externalReference r:id="rId33"/>
  </externalReferences>
  <definedNames>
    <definedName name="_cur1">'[1]Appl (2)'!$F$2:$F$7200</definedName>
    <definedName name="_cur2">'[1]Appl (2)'!$H$2:$H$7200</definedName>
    <definedName name="_xlnm._FilterDatabase" localSheetId="29" hidden="1">Instruction!$A$106:$C$110</definedName>
    <definedName name="_sum1">'[1]Appl (2)'!$E$2:$E$7200</definedName>
    <definedName name="_sum2">'[1]Appl (2)'!$G$2:$G$7200</definedName>
    <definedName name="ACC_BALACC" localSheetId="19">#REF!</definedName>
    <definedName name="ACC_BALACC" localSheetId="2">#REF!</definedName>
    <definedName name="ACC_BALACC" localSheetId="23">#REF!</definedName>
    <definedName name="ACC_BALACC" localSheetId="24">#REF!</definedName>
    <definedName name="ACC_BALACC" localSheetId="25">#REF!</definedName>
    <definedName name="ACC_BALACC" localSheetId="26">#REF!</definedName>
    <definedName name="ACC_BALACC" localSheetId="3">#REF!</definedName>
    <definedName name="ACC_BALACC" localSheetId="4">#REF!</definedName>
    <definedName name="ACC_BALACC" localSheetId="10">#REF!</definedName>
    <definedName name="ACC_BALACC">#REF!</definedName>
    <definedName name="ACC_CRS" localSheetId="19">#REF!</definedName>
    <definedName name="ACC_CRS" localSheetId="2">#REF!</definedName>
    <definedName name="ACC_CRS" localSheetId="23">#REF!</definedName>
    <definedName name="ACC_CRS" localSheetId="24">#REF!</definedName>
    <definedName name="ACC_CRS" localSheetId="25">#REF!</definedName>
    <definedName name="ACC_CRS" localSheetId="26">#REF!</definedName>
    <definedName name="ACC_CRS" localSheetId="3">#REF!</definedName>
    <definedName name="ACC_CRS" localSheetId="4">#REF!</definedName>
    <definedName name="ACC_CRS" localSheetId="10">#REF!</definedName>
    <definedName name="ACC_CRS">#REF!</definedName>
    <definedName name="ACC_DBS" localSheetId="19">#REF!</definedName>
    <definedName name="ACC_DBS" localSheetId="2">#REF!</definedName>
    <definedName name="ACC_DBS" localSheetId="23">#REF!</definedName>
    <definedName name="ACC_DBS" localSheetId="24">#REF!</definedName>
    <definedName name="ACC_DBS" localSheetId="25">#REF!</definedName>
    <definedName name="ACC_DBS" localSheetId="26">#REF!</definedName>
    <definedName name="ACC_DBS" localSheetId="3">#REF!</definedName>
    <definedName name="ACC_DBS" localSheetId="4">#REF!</definedName>
    <definedName name="ACC_DBS" localSheetId="10">#REF!</definedName>
    <definedName name="ACC_DBS">#REF!</definedName>
    <definedName name="ACC_ISO" localSheetId="19">#REF!</definedName>
    <definedName name="ACC_ISO" localSheetId="2">#REF!</definedName>
    <definedName name="ACC_ISO" localSheetId="23">#REF!</definedName>
    <definedName name="ACC_ISO" localSheetId="24">#REF!</definedName>
    <definedName name="ACC_ISO" localSheetId="25">#REF!</definedName>
    <definedName name="ACC_ISO" localSheetId="26">#REF!</definedName>
    <definedName name="ACC_ISO" localSheetId="3">#REF!</definedName>
    <definedName name="ACC_ISO" localSheetId="4">#REF!</definedName>
    <definedName name="ACC_ISO" localSheetId="10">#REF!</definedName>
    <definedName name="ACC_ISO">#REF!</definedName>
    <definedName name="ACC_SALDO" localSheetId="19">#REF!</definedName>
    <definedName name="ACC_SALDO" localSheetId="2">#REF!</definedName>
    <definedName name="ACC_SALDO" localSheetId="23">#REF!</definedName>
    <definedName name="ACC_SALDO" localSheetId="24">#REF!</definedName>
    <definedName name="ACC_SALDO" localSheetId="25">#REF!</definedName>
    <definedName name="ACC_SALDO" localSheetId="26">#REF!</definedName>
    <definedName name="ACC_SALDO" localSheetId="3">#REF!</definedName>
    <definedName name="ACC_SALDO" localSheetId="4">#REF!</definedName>
    <definedName name="ACC_SALDO" localSheetId="10">#REF!</definedName>
    <definedName name="ACC_SALDO">#REF!</definedName>
    <definedName name="BS_BALACC" localSheetId="19">#REF!</definedName>
    <definedName name="BS_BALACC" localSheetId="2">#REF!</definedName>
    <definedName name="BS_BALACC" localSheetId="23">#REF!</definedName>
    <definedName name="BS_BALACC" localSheetId="24">#REF!</definedName>
    <definedName name="BS_BALACC" localSheetId="25">#REF!</definedName>
    <definedName name="BS_BALACC" localSheetId="26">#REF!</definedName>
    <definedName name="BS_BALACC" localSheetId="3">#REF!</definedName>
    <definedName name="BS_BALACC" localSheetId="4">#REF!</definedName>
    <definedName name="BS_BALACC" localSheetId="10">#REF!</definedName>
    <definedName name="BS_BALACC">#REF!</definedName>
    <definedName name="BS_BALANCE" localSheetId="19">#REF!</definedName>
    <definedName name="BS_BALANCE" localSheetId="2">#REF!</definedName>
    <definedName name="BS_BALANCE" localSheetId="23">#REF!</definedName>
    <definedName name="BS_BALANCE" localSheetId="24">#REF!</definedName>
    <definedName name="BS_BALANCE" localSheetId="25">#REF!</definedName>
    <definedName name="BS_BALANCE" localSheetId="26">#REF!</definedName>
    <definedName name="BS_BALANCE" localSheetId="3">#REF!</definedName>
    <definedName name="BS_BALANCE" localSheetId="4">#REF!</definedName>
    <definedName name="BS_BALANCE" localSheetId="10">#REF!</definedName>
    <definedName name="BS_BALANCE">#REF!</definedName>
    <definedName name="BS_CR" localSheetId="19">#REF!</definedName>
    <definedName name="BS_CR" localSheetId="2">#REF!</definedName>
    <definedName name="BS_CR" localSheetId="23">#REF!</definedName>
    <definedName name="BS_CR" localSheetId="24">#REF!</definedName>
    <definedName name="BS_CR" localSheetId="25">#REF!</definedName>
    <definedName name="BS_CR" localSheetId="26">#REF!</definedName>
    <definedName name="BS_CR" localSheetId="3">#REF!</definedName>
    <definedName name="BS_CR" localSheetId="4">#REF!</definedName>
    <definedName name="BS_CR" localSheetId="10">#REF!</definedName>
    <definedName name="BS_CR">#REF!</definedName>
    <definedName name="BS_CR_EQU" localSheetId="19">#REF!</definedName>
    <definedName name="BS_CR_EQU" localSheetId="2">#REF!</definedName>
    <definedName name="BS_CR_EQU" localSheetId="23">#REF!</definedName>
    <definedName name="BS_CR_EQU" localSheetId="24">#REF!</definedName>
    <definedName name="BS_CR_EQU" localSheetId="25">#REF!</definedName>
    <definedName name="BS_CR_EQU" localSheetId="26">#REF!</definedName>
    <definedName name="BS_CR_EQU" localSheetId="3">#REF!</definedName>
    <definedName name="BS_CR_EQU" localSheetId="4">#REF!</definedName>
    <definedName name="BS_CR_EQU" localSheetId="10">#REF!</definedName>
    <definedName name="BS_CR_EQU">#REF!</definedName>
    <definedName name="BS_DB" localSheetId="19">#REF!</definedName>
    <definedName name="BS_DB" localSheetId="2">#REF!</definedName>
    <definedName name="BS_DB" localSheetId="23">#REF!</definedName>
    <definedName name="BS_DB" localSheetId="24">#REF!</definedName>
    <definedName name="BS_DB" localSheetId="25">#REF!</definedName>
    <definedName name="BS_DB" localSheetId="26">#REF!</definedName>
    <definedName name="BS_DB" localSheetId="3">#REF!</definedName>
    <definedName name="BS_DB" localSheetId="4">#REF!</definedName>
    <definedName name="BS_DB" localSheetId="10">#REF!</definedName>
    <definedName name="BS_DB">#REF!</definedName>
    <definedName name="BS_DB_EQU" localSheetId="19">#REF!</definedName>
    <definedName name="BS_DB_EQU" localSheetId="2">#REF!</definedName>
    <definedName name="BS_DB_EQU" localSheetId="23">#REF!</definedName>
    <definedName name="BS_DB_EQU" localSheetId="24">#REF!</definedName>
    <definedName name="BS_DB_EQU" localSheetId="25">#REF!</definedName>
    <definedName name="BS_DB_EQU" localSheetId="26">#REF!</definedName>
    <definedName name="BS_DB_EQU" localSheetId="3">#REF!</definedName>
    <definedName name="BS_DB_EQU" localSheetId="4">#REF!</definedName>
    <definedName name="BS_DB_EQU" localSheetId="10">#REF!</definedName>
    <definedName name="BS_DB_EQU">#REF!</definedName>
    <definedName name="BS_DT" localSheetId="19">#REF!</definedName>
    <definedName name="BS_DT" localSheetId="2">#REF!</definedName>
    <definedName name="BS_DT" localSheetId="23">#REF!</definedName>
    <definedName name="BS_DT" localSheetId="24">#REF!</definedName>
    <definedName name="BS_DT" localSheetId="25">#REF!</definedName>
    <definedName name="BS_DT" localSheetId="26">#REF!</definedName>
    <definedName name="BS_DT" localSheetId="3">#REF!</definedName>
    <definedName name="BS_DT" localSheetId="4">#REF!</definedName>
    <definedName name="BS_DT" localSheetId="10">#REF!</definedName>
    <definedName name="BS_DT">#REF!</definedName>
    <definedName name="BS_ISO" localSheetId="19">#REF!</definedName>
    <definedName name="BS_ISO" localSheetId="2">#REF!</definedName>
    <definedName name="BS_ISO" localSheetId="23">#REF!</definedName>
    <definedName name="BS_ISO" localSheetId="24">#REF!</definedName>
    <definedName name="BS_ISO" localSheetId="25">#REF!</definedName>
    <definedName name="BS_ISO" localSheetId="26">#REF!</definedName>
    <definedName name="BS_ISO" localSheetId="3">#REF!</definedName>
    <definedName name="BS_ISO" localSheetId="4">#REF!</definedName>
    <definedName name="BS_ISO" localSheetId="10">#REF!</definedName>
    <definedName name="BS_ISO">#REF!</definedName>
    <definedName name="CurrentDate" localSheetId="19">#REF!</definedName>
    <definedName name="CurrentDate" localSheetId="2">#REF!</definedName>
    <definedName name="CurrentDate" localSheetId="23">#REF!</definedName>
    <definedName name="CurrentDate" localSheetId="24">#REF!</definedName>
    <definedName name="CurrentDate" localSheetId="25">#REF!</definedName>
    <definedName name="CurrentDate" localSheetId="26">#REF!</definedName>
    <definedName name="CurrentDate" localSheetId="3">#REF!</definedName>
    <definedName name="CurrentDate" localSheetId="4">#REF!</definedName>
    <definedName name="CurrentDate" localSheetId="10">#REF!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91029"/>
</workbook>
</file>

<file path=xl/calcChain.xml><?xml version="1.0" encoding="utf-8"?>
<calcChain xmlns="http://schemas.openxmlformats.org/spreadsheetml/2006/main">
  <c r="E35" i="97" l="1"/>
  <c r="D36" i="97"/>
  <c r="H22" i="101" l="1"/>
  <c r="H21" i="101"/>
  <c r="H20" i="101"/>
  <c r="H19" i="101"/>
  <c r="H18" i="101"/>
  <c r="H17" i="101"/>
  <c r="H15" i="101"/>
  <c r="H14" i="101"/>
  <c r="H13" i="101"/>
  <c r="H12" i="101"/>
  <c r="H11" i="101"/>
  <c r="H10" i="101"/>
  <c r="H9" i="101"/>
  <c r="H8" i="101"/>
  <c r="L14" i="100"/>
  <c r="C14" i="100" s="1"/>
  <c r="L13" i="100"/>
  <c r="C13" i="100" s="1"/>
  <c r="L12" i="100"/>
  <c r="L11" i="100"/>
  <c r="L10" i="100"/>
  <c r="L9" i="100"/>
  <c r="H14" i="100"/>
  <c r="H13" i="100"/>
  <c r="H12" i="100"/>
  <c r="C12" i="100" s="1"/>
  <c r="H11" i="100"/>
  <c r="C11" i="100" s="1"/>
  <c r="H10" i="100"/>
  <c r="C10" i="100" s="1"/>
  <c r="H9" i="100"/>
  <c r="C9" i="100"/>
  <c r="C10" i="99"/>
  <c r="C18" i="99" s="1"/>
  <c r="D38" i="94" l="1"/>
  <c r="C38" i="94"/>
  <c r="H69" i="92" l="1"/>
  <c r="E69" i="92"/>
  <c r="H68" i="92"/>
  <c r="E68" i="92"/>
  <c r="H67" i="92"/>
  <c r="E67" i="92"/>
  <c r="H66" i="92"/>
  <c r="E66" i="92"/>
  <c r="H65" i="92"/>
  <c r="E65" i="92"/>
  <c r="H64" i="92"/>
  <c r="E64" i="92"/>
  <c r="H63" i="92"/>
  <c r="E63" i="92"/>
  <c r="H62" i="92"/>
  <c r="E62" i="92"/>
  <c r="H61" i="92"/>
  <c r="E61" i="92"/>
  <c r="H60" i="92"/>
  <c r="E60" i="92"/>
  <c r="H59" i="92"/>
  <c r="E59" i="92"/>
  <c r="H58" i="92"/>
  <c r="E58" i="92"/>
  <c r="H57" i="92"/>
  <c r="E57" i="92"/>
  <c r="H56" i="92"/>
  <c r="E56" i="92"/>
  <c r="H55" i="92"/>
  <c r="E55" i="92"/>
  <c r="H53" i="92"/>
  <c r="E53" i="92"/>
  <c r="H52" i="92"/>
  <c r="E52" i="92"/>
  <c r="H51" i="92"/>
  <c r="E51" i="92"/>
  <c r="H50" i="92"/>
  <c r="E50" i="92"/>
  <c r="H49" i="92"/>
  <c r="E49" i="92"/>
  <c r="H48" i="92"/>
  <c r="E48" i="92"/>
  <c r="H47" i="92"/>
  <c r="E47" i="92"/>
  <c r="H46" i="92"/>
  <c r="E46" i="92"/>
  <c r="H45" i="92"/>
  <c r="E45" i="92"/>
  <c r="H44" i="92"/>
  <c r="E44" i="92"/>
  <c r="H43" i="92"/>
  <c r="E43" i="92"/>
  <c r="H42" i="92"/>
  <c r="E42" i="92"/>
  <c r="H41" i="92"/>
  <c r="E41" i="92"/>
  <c r="H40" i="92"/>
  <c r="E40" i="92"/>
  <c r="H39" i="92"/>
  <c r="E39" i="92"/>
  <c r="H38" i="92"/>
  <c r="E38" i="92"/>
  <c r="H36" i="92"/>
  <c r="E36" i="92"/>
  <c r="H35" i="92"/>
  <c r="E35" i="92"/>
  <c r="H34" i="92"/>
  <c r="E34" i="92"/>
  <c r="H33" i="92"/>
  <c r="E33" i="92"/>
  <c r="H32" i="92"/>
  <c r="E32" i="92"/>
  <c r="H31" i="92"/>
  <c r="E31" i="92"/>
  <c r="H30" i="92"/>
  <c r="E30" i="92"/>
  <c r="H29" i="92"/>
  <c r="E29" i="92"/>
  <c r="H28" i="92"/>
  <c r="E28" i="92"/>
  <c r="H27" i="92"/>
  <c r="E27" i="92"/>
  <c r="H26" i="92"/>
  <c r="E26" i="92"/>
  <c r="H25" i="92"/>
  <c r="E25" i="92"/>
  <c r="H24" i="92"/>
  <c r="E24" i="92"/>
  <c r="H23" i="92"/>
  <c r="E23" i="92"/>
  <c r="H22" i="92"/>
  <c r="E22" i="92"/>
  <c r="H21" i="92"/>
  <c r="E21" i="92"/>
  <c r="H20" i="92"/>
  <c r="E20" i="92"/>
  <c r="H19" i="92"/>
  <c r="E19" i="92"/>
  <c r="H18" i="92"/>
  <c r="E18" i="92"/>
  <c r="H17" i="92"/>
  <c r="E17" i="92"/>
  <c r="H16" i="92"/>
  <c r="E16" i="92"/>
  <c r="H15" i="92"/>
  <c r="E15" i="92"/>
  <c r="H14" i="92"/>
  <c r="E14" i="92"/>
  <c r="H13" i="92"/>
  <c r="E13" i="92"/>
  <c r="H12" i="92"/>
  <c r="E12" i="92"/>
  <c r="H11" i="92"/>
  <c r="E11" i="92"/>
  <c r="H10" i="92"/>
  <c r="E10" i="92"/>
  <c r="H9" i="92"/>
  <c r="E9" i="92"/>
  <c r="H8" i="92"/>
  <c r="E8" i="92"/>
  <c r="H7" i="92"/>
  <c r="E7" i="92"/>
  <c r="H13" i="95" l="1"/>
  <c r="C27" i="100"/>
  <c r="C26" i="100"/>
  <c r="D37" i="101"/>
  <c r="D36" i="101"/>
  <c r="D35" i="101"/>
  <c r="D34" i="101"/>
  <c r="D33" i="101"/>
  <c r="D32" i="101"/>
  <c r="D31" i="101"/>
  <c r="D30" i="101"/>
  <c r="D29" i="101"/>
  <c r="D28" i="101"/>
  <c r="D27" i="101"/>
  <c r="D26" i="101"/>
  <c r="D25" i="101"/>
  <c r="D24" i="101"/>
  <c r="D23" i="101"/>
  <c r="L38" i="101"/>
  <c r="L37" i="101"/>
  <c r="C37" i="101"/>
  <c r="C21" i="101"/>
  <c r="C36" i="101" s="1"/>
  <c r="C20" i="101"/>
  <c r="C35" i="101" s="1"/>
  <c r="C19" i="101"/>
  <c r="C34" i="101" s="1"/>
  <c r="C18" i="101"/>
  <c r="C33" i="101" s="1"/>
  <c r="C17" i="101"/>
  <c r="C32" i="101" s="1"/>
  <c r="C15" i="101"/>
  <c r="C30" i="101" s="1"/>
  <c r="C14" i="101"/>
  <c r="C29" i="101" s="1"/>
  <c r="C13" i="101"/>
  <c r="C28" i="101" s="1"/>
  <c r="C12" i="101"/>
  <c r="C27" i="101" s="1"/>
  <c r="C11" i="101"/>
  <c r="C26" i="101" s="1"/>
  <c r="C8" i="101"/>
  <c r="C10" i="101"/>
  <c r="C25" i="101" s="1"/>
  <c r="C9" i="101"/>
  <c r="C24" i="101" s="1"/>
  <c r="C31" i="101"/>
  <c r="L20" i="101"/>
  <c r="L36" i="101" s="1"/>
  <c r="L19" i="101"/>
  <c r="L35" i="101" s="1"/>
  <c r="L18" i="101"/>
  <c r="L34" i="101" s="1"/>
  <c r="L17" i="101"/>
  <c r="L33" i="101" s="1"/>
  <c r="L15" i="101"/>
  <c r="L31" i="101" s="1"/>
  <c r="L14" i="101"/>
  <c r="L30" i="101" s="1"/>
  <c r="L13" i="101"/>
  <c r="L29" i="101" s="1"/>
  <c r="L12" i="101"/>
  <c r="L28" i="101" s="1"/>
  <c r="L11" i="101"/>
  <c r="L27" i="101" s="1"/>
  <c r="L10" i="101"/>
  <c r="L26" i="101" s="1"/>
  <c r="L9" i="101"/>
  <c r="L25" i="101" s="1"/>
  <c r="L8" i="101"/>
  <c r="L32" i="101"/>
  <c r="L9" i="103"/>
  <c r="C21" i="96"/>
  <c r="E22" i="95"/>
  <c r="C8" i="100" l="1"/>
  <c r="L24" i="101"/>
  <c r="C23" i="101"/>
  <c r="C22" i="35" l="1"/>
  <c r="D22" i="35"/>
  <c r="E22" i="35"/>
  <c r="F22" i="35"/>
  <c r="G22" i="35"/>
  <c r="H22" i="35"/>
  <c r="I22" i="35"/>
  <c r="J22" i="35"/>
  <c r="K22" i="35"/>
  <c r="L22" i="35"/>
  <c r="M22" i="35"/>
  <c r="N22" i="35"/>
  <c r="O22" i="35"/>
  <c r="P22" i="35"/>
  <c r="Q22" i="35"/>
  <c r="C47" i="69"/>
  <c r="C45" i="69"/>
  <c r="C20" i="69"/>
  <c r="C9" i="69"/>
  <c r="C8" i="69"/>
  <c r="C7" i="69"/>
  <c r="C66" i="69"/>
  <c r="C63" i="69"/>
  <c r="C60" i="69"/>
  <c r="C51" i="69"/>
  <c r="C50" i="69"/>
  <c r="C49" i="69"/>
  <c r="C41" i="69"/>
  <c r="C33" i="69"/>
  <c r="C31" i="69"/>
  <c r="C30" i="69"/>
  <c r="C28" i="69"/>
  <c r="C25" i="69"/>
  <c r="C24" i="69"/>
  <c r="C23" i="69" s="1"/>
  <c r="C15" i="69"/>
  <c r="H45" i="93"/>
  <c r="E45" i="93"/>
  <c r="H44" i="93"/>
  <c r="E44" i="93"/>
  <c r="H43" i="93"/>
  <c r="E43"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H6" i="93"/>
  <c r="E6" i="93"/>
  <c r="H8" i="97" l="1"/>
  <c r="H33" i="97"/>
  <c r="H7" i="97"/>
  <c r="H9" i="97"/>
  <c r="H10" i="97"/>
  <c r="H11" i="97"/>
  <c r="H12" i="97"/>
  <c r="H13" i="97"/>
  <c r="H14" i="97"/>
  <c r="H15" i="97"/>
  <c r="H16" i="97"/>
  <c r="H17" i="97"/>
  <c r="H18" i="97"/>
  <c r="H19" i="97"/>
  <c r="H20" i="97"/>
  <c r="H21" i="97"/>
  <c r="H22" i="97"/>
  <c r="H23" i="97"/>
  <c r="H24" i="97"/>
  <c r="H25" i="97"/>
  <c r="H26" i="97"/>
  <c r="H27" i="97"/>
  <c r="H28" i="97"/>
  <c r="H29" i="97"/>
  <c r="H30" i="97"/>
  <c r="H31" i="97"/>
  <c r="H32" i="97"/>
  <c r="H7" i="96" l="1"/>
  <c r="H8" i="96"/>
  <c r="H9" i="96"/>
  <c r="H10" i="96"/>
  <c r="H11" i="96"/>
  <c r="H12" i="96"/>
  <c r="H13" i="96"/>
  <c r="H14" i="96"/>
  <c r="H15" i="96"/>
  <c r="H16" i="96"/>
  <c r="H17" i="96"/>
  <c r="H18" i="96"/>
  <c r="H19" i="96"/>
  <c r="H20" i="96"/>
  <c r="E8" i="94" l="1"/>
  <c r="H8" i="94"/>
  <c r="E9" i="94"/>
  <c r="H9" i="94"/>
  <c r="E10" i="94"/>
  <c r="H10" i="94"/>
  <c r="E6" i="94"/>
  <c r="H6" i="94"/>
  <c r="E7" i="94"/>
  <c r="H7" i="94"/>
  <c r="E11" i="94"/>
  <c r="H11" i="94"/>
  <c r="E12" i="94"/>
  <c r="H12" i="94"/>
  <c r="E13" i="94"/>
  <c r="H13" i="94"/>
  <c r="H14" i="94"/>
  <c r="E15" i="94"/>
  <c r="H15" i="94"/>
  <c r="E16" i="94"/>
  <c r="H16" i="94"/>
  <c r="E17" i="94"/>
  <c r="H17" i="94"/>
  <c r="E18" i="94"/>
  <c r="H18" i="94"/>
  <c r="E19" i="94"/>
  <c r="H19" i="94"/>
  <c r="E20" i="94"/>
  <c r="H20" i="94"/>
  <c r="E21" i="94"/>
  <c r="H21" i="94"/>
  <c r="E22" i="94"/>
  <c r="H22" i="94"/>
  <c r="E23" i="94"/>
  <c r="H23" i="94"/>
  <c r="E24" i="94"/>
  <c r="H24" i="94"/>
  <c r="E25" i="94"/>
  <c r="H25" i="94"/>
  <c r="E26" i="94"/>
  <c r="H26" i="94"/>
  <c r="E27" i="94"/>
  <c r="H27" i="94"/>
  <c r="E28" i="94"/>
  <c r="H28" i="94"/>
  <c r="E29" i="94"/>
  <c r="H29" i="94"/>
  <c r="E30" i="94"/>
  <c r="E31" i="94"/>
  <c r="H31" i="94"/>
  <c r="E32" i="94"/>
  <c r="H32" i="94"/>
  <c r="E33" i="94"/>
  <c r="H33" i="94"/>
  <c r="E34" i="94"/>
  <c r="H34" i="94"/>
  <c r="E35" i="94"/>
  <c r="H35" i="94"/>
  <c r="E36" i="94"/>
  <c r="H36" i="94"/>
  <c r="E37" i="94"/>
  <c r="H37" i="94"/>
  <c r="E38" i="94"/>
  <c r="H38" i="94"/>
  <c r="E39" i="94"/>
  <c r="H39" i="94"/>
  <c r="E40" i="94"/>
  <c r="H40" i="94"/>
  <c r="E41" i="94"/>
  <c r="H41" i="94"/>
  <c r="E42" i="94"/>
  <c r="H42" i="94"/>
  <c r="E43" i="94"/>
  <c r="H43" i="94"/>
  <c r="H30" i="94" l="1"/>
  <c r="E14" i="94"/>
  <c r="E21" i="96" l="1"/>
  <c r="C27" i="69" l="1"/>
  <c r="C15" i="100" l="1"/>
  <c r="D15" i="100"/>
  <c r="E15" i="100"/>
  <c r="F15" i="100"/>
  <c r="G15" i="100"/>
  <c r="H15" i="100"/>
  <c r="I15" i="100"/>
  <c r="J15" i="100"/>
  <c r="K15" i="100"/>
  <c r="L15" i="100"/>
  <c r="M15" i="100"/>
  <c r="N15" i="100"/>
  <c r="O15" i="100"/>
  <c r="P15" i="100"/>
  <c r="Q15" i="100"/>
  <c r="R15" i="100"/>
  <c r="S15" i="100"/>
  <c r="C12" i="28" l="1"/>
  <c r="C32" i="28"/>
  <c r="C31" i="28" s="1"/>
  <c r="C42" i="28" s="1"/>
  <c r="C36" i="28"/>
  <c r="C44" i="28"/>
  <c r="H70" i="92" l="1"/>
  <c r="E70" i="92"/>
  <c r="L33" i="102" l="1"/>
  <c r="K33" i="102"/>
  <c r="J33" i="102"/>
  <c r="I33" i="102"/>
  <c r="H33" i="102"/>
  <c r="G33" i="102"/>
  <c r="F33" i="102"/>
  <c r="F34" i="102" s="1"/>
  <c r="E33" i="102"/>
  <c r="D33" i="102"/>
  <c r="C33" i="102"/>
  <c r="C4" i="101" s="1"/>
  <c r="S22" i="100"/>
  <c r="R22" i="100"/>
  <c r="Q22" i="100"/>
  <c r="P22" i="100"/>
  <c r="O22" i="100"/>
  <c r="N22" i="100"/>
  <c r="M22" i="100"/>
  <c r="L22" i="100"/>
  <c r="K22" i="100"/>
  <c r="J22" i="100"/>
  <c r="I22" i="100"/>
  <c r="H22" i="100"/>
  <c r="G22" i="100"/>
  <c r="F22" i="100"/>
  <c r="E22" i="100"/>
  <c r="D22" i="100"/>
  <c r="C22" i="100"/>
  <c r="S8" i="100"/>
  <c r="R8" i="100"/>
  <c r="Q8" i="100"/>
  <c r="P8" i="100"/>
  <c r="O8" i="100"/>
  <c r="N8" i="100"/>
  <c r="M8" i="100"/>
  <c r="L8" i="100"/>
  <c r="K8" i="100"/>
  <c r="J8" i="100"/>
  <c r="I8" i="100"/>
  <c r="H8" i="100"/>
  <c r="G8" i="100"/>
  <c r="F8" i="100"/>
  <c r="E8" i="100"/>
  <c r="D8" i="100"/>
  <c r="C4" i="100"/>
  <c r="C48" i="28"/>
  <c r="E24" i="96" l="1"/>
  <c r="H35" i="102"/>
  <c r="C35" i="102"/>
  <c r="L4" i="100"/>
  <c r="L3" i="100"/>
  <c r="H3" i="100"/>
  <c r="H4" i="100"/>
  <c r="D3" i="100"/>
  <c r="D4" i="100"/>
  <c r="C24" i="96"/>
  <c r="D10" i="98" l="1"/>
  <c r="D7" i="98"/>
  <c r="D15" i="98" l="1"/>
  <c r="G21" i="96"/>
  <c r="F21" i="96"/>
  <c r="C35" i="79" l="1"/>
  <c r="C34" i="102" l="1"/>
  <c r="F35" i="97" l="1"/>
  <c r="C22" i="74" l="1"/>
  <c r="H21" i="74" l="1"/>
  <c r="H20" i="74"/>
  <c r="H19" i="74"/>
  <c r="H18" i="74"/>
  <c r="H17" i="74"/>
  <c r="H16" i="74"/>
  <c r="H15" i="74"/>
  <c r="H14" i="74"/>
  <c r="H13" i="74"/>
  <c r="H12" i="74"/>
  <c r="H11" i="74"/>
  <c r="H10" i="74"/>
  <c r="H9" i="74"/>
  <c r="H8" i="74"/>
  <c r="U15" i="100"/>
  <c r="T15" i="100"/>
  <c r="U22" i="100"/>
  <c r="T22" i="100"/>
  <c r="U8" i="100"/>
  <c r="T8" i="100"/>
  <c r="E13" i="99"/>
  <c r="C19" i="99" l="1"/>
  <c r="C32" i="69" l="1"/>
  <c r="C21" i="69"/>
  <c r="B1" i="92" l="1"/>
  <c r="B1" i="93"/>
  <c r="B1" i="94"/>
  <c r="B1" i="71"/>
  <c r="B1" i="52"/>
  <c r="B1" i="72"/>
  <c r="B1" i="73"/>
  <c r="B1" i="28"/>
  <c r="B1" i="77"/>
  <c r="B1" i="69"/>
  <c r="B1" i="35"/>
  <c r="B1" i="64"/>
  <c r="B1" i="74"/>
  <c r="B1" i="36"/>
  <c r="B1" i="37"/>
  <c r="B1" i="79"/>
  <c r="B1" i="80"/>
  <c r="B1" i="95"/>
  <c r="B1" i="96"/>
  <c r="B1" i="97"/>
  <c r="B1" i="98"/>
  <c r="B1" i="99"/>
  <c r="B1" i="100"/>
  <c r="B1" i="101"/>
  <c r="B1" i="102"/>
  <c r="B1" i="103"/>
  <c r="B1" i="104"/>
  <c r="B1" i="6"/>
  <c r="B2" i="92"/>
  <c r="B2" i="93"/>
  <c r="B2" i="94"/>
  <c r="B2" i="71"/>
  <c r="B2" i="52"/>
  <c r="B2" i="72"/>
  <c r="B2" i="73"/>
  <c r="B2" i="28"/>
  <c r="B2" i="77"/>
  <c r="B2" i="69"/>
  <c r="B2" i="35"/>
  <c r="B2" i="64"/>
  <c r="B2" i="74"/>
  <c r="B2" i="36"/>
  <c r="B2" i="37"/>
  <c r="B2" i="79"/>
  <c r="B2" i="80"/>
  <c r="B2" i="95"/>
  <c r="B2" i="96"/>
  <c r="B2" i="97"/>
  <c r="B2" i="98"/>
  <c r="B2" i="99"/>
  <c r="B2" i="100"/>
  <c r="B2" i="101"/>
  <c r="B2" i="102"/>
  <c r="B2" i="103"/>
  <c r="B2" i="104"/>
  <c r="B2" i="6"/>
  <c r="C22" i="95" l="1"/>
  <c r="H21" i="95"/>
  <c r="C7" i="98" l="1"/>
  <c r="C10" i="98"/>
  <c r="I33" i="97"/>
  <c r="C34" i="97"/>
  <c r="D34" i="97"/>
  <c r="E34" i="97"/>
  <c r="F34" i="97"/>
  <c r="G34" i="97"/>
  <c r="H22" i="96"/>
  <c r="H23" i="96"/>
  <c r="H8" i="95"/>
  <c r="H9" i="95"/>
  <c r="H10" i="95"/>
  <c r="H11" i="95"/>
  <c r="H12" i="95"/>
  <c r="H14" i="95"/>
  <c r="H15" i="95"/>
  <c r="I14" i="96" s="1"/>
  <c r="H16" i="95"/>
  <c r="I15" i="96" s="1"/>
  <c r="H17" i="95"/>
  <c r="I16" i="96" s="1"/>
  <c r="H18" i="95"/>
  <c r="H19" i="95"/>
  <c r="H20" i="95"/>
  <c r="D22" i="95"/>
  <c r="F22" i="95"/>
  <c r="G22" i="95"/>
  <c r="C35" i="97" l="1"/>
  <c r="L23" i="101"/>
  <c r="I13" i="96"/>
  <c r="H22" i="95"/>
  <c r="H23" i="95" s="1"/>
  <c r="I12" i="96"/>
  <c r="C15" i="98"/>
  <c r="C16" i="98" s="1"/>
  <c r="H34" i="97"/>
  <c r="C62" i="69"/>
  <c r="C58" i="69"/>
  <c r="C46" i="69"/>
  <c r="C40" i="69"/>
  <c r="C29" i="69"/>
  <c r="C26" i="69"/>
  <c r="C18" i="69"/>
  <c r="C14" i="69"/>
  <c r="C6" i="69"/>
  <c r="C67" i="69" l="1"/>
  <c r="C35" i="69"/>
  <c r="D21" i="96"/>
  <c r="D35" i="97" s="1"/>
  <c r="D37" i="72"/>
  <c r="C52" i="69"/>
  <c r="H21" i="96" l="1"/>
  <c r="C68" i="69"/>
  <c r="C69" i="69" s="1"/>
  <c r="H25" i="96" l="1"/>
  <c r="H35" i="97"/>
  <c r="G39" i="80"/>
  <c r="G6" i="71"/>
  <c r="G13" i="71" s="1"/>
  <c r="F6" i="71"/>
  <c r="F13" i="71" s="1"/>
  <c r="F14" i="71" s="1"/>
  <c r="E6" i="71"/>
  <c r="E13" i="71" s="1"/>
  <c r="E14" i="71" s="1"/>
  <c r="D6" i="71"/>
  <c r="D13" i="71" s="1"/>
  <c r="D14" i="71" s="1"/>
  <c r="C6" i="71"/>
  <c r="C13" i="71" s="1"/>
  <c r="C14" i="71" s="1"/>
  <c r="C21" i="77" l="1"/>
  <c r="D16" i="77"/>
  <c r="D17" i="77"/>
  <c r="D15" i="77"/>
  <c r="D12" i="77"/>
  <c r="D13" i="77"/>
  <c r="D11" i="77"/>
  <c r="D8" i="77"/>
  <c r="D9" i="77"/>
  <c r="D7" i="77"/>
  <c r="C20" i="77"/>
  <c r="C19" i="77"/>
  <c r="D21" i="77" l="1"/>
  <c r="E21" i="77" s="1"/>
  <c r="D19" i="77"/>
  <c r="E19" i="77" s="1"/>
  <c r="D20" i="77"/>
  <c r="E20" i="77" s="1"/>
  <c r="C30" i="79"/>
  <c r="C26" i="79"/>
  <c r="C8" i="79"/>
  <c r="E8" i="37" l="1"/>
  <c r="N16" i="37"/>
  <c r="N17" i="37"/>
  <c r="N18" i="37"/>
  <c r="N19" i="37"/>
  <c r="N20" i="37"/>
  <c r="N15" i="37"/>
  <c r="N13" i="37"/>
  <c r="N10" i="37"/>
  <c r="N9" i="37"/>
  <c r="N11" i="37"/>
  <c r="N12" i="37"/>
  <c r="E19" i="37"/>
  <c r="E18" i="37"/>
  <c r="E17" i="37"/>
  <c r="E16" i="37"/>
  <c r="E15" i="37"/>
  <c r="M14" i="37"/>
  <c r="L14" i="37"/>
  <c r="K14" i="37"/>
  <c r="J14" i="37"/>
  <c r="I14" i="37"/>
  <c r="H14" i="37"/>
  <c r="G14" i="37"/>
  <c r="F14" i="37"/>
  <c r="C14" i="37"/>
  <c r="E12" i="37"/>
  <c r="E11" i="37"/>
  <c r="E10" i="37"/>
  <c r="E9" i="37"/>
  <c r="M7" i="37"/>
  <c r="L7" i="37"/>
  <c r="L21" i="37" s="1"/>
  <c r="J7" i="37"/>
  <c r="I7" i="37"/>
  <c r="I21" i="37" s="1"/>
  <c r="H7" i="37"/>
  <c r="G7" i="37"/>
  <c r="F7" i="37"/>
  <c r="C7" i="37"/>
  <c r="H21" i="37" l="1"/>
  <c r="G21" i="37"/>
  <c r="M21" i="37"/>
  <c r="J21" i="37"/>
  <c r="F21" i="37"/>
  <c r="N14" i="37"/>
  <c r="E14" i="37"/>
  <c r="E7" i="37"/>
  <c r="C21" i="37"/>
  <c r="N8" i="37"/>
  <c r="E21" i="37" l="1"/>
  <c r="C12" i="79" s="1"/>
  <c r="C18" i="79" s="1"/>
  <c r="C36" i="79" s="1"/>
  <c r="C38" i="79" s="1"/>
  <c r="N7" i="37"/>
  <c r="N21" i="37" s="1"/>
  <c r="K7" i="37"/>
  <c r="K21" i="37" s="1"/>
  <c r="S21" i="35" l="1"/>
  <c r="S20" i="35"/>
  <c r="S19" i="35"/>
  <c r="S18" i="35"/>
  <c r="S17" i="35"/>
  <c r="S16" i="35"/>
  <c r="S15" i="35"/>
  <c r="S14" i="35"/>
  <c r="S13" i="35"/>
  <c r="S12" i="35"/>
  <c r="S11" i="35"/>
  <c r="S10" i="35"/>
  <c r="S9" i="35"/>
  <c r="S8" i="35"/>
  <c r="S22" i="35" l="1"/>
  <c r="R22" i="35" l="1"/>
  <c r="G22" i="74" l="1"/>
  <c r="F22" i="74"/>
  <c r="G23" i="74" l="1"/>
  <c r="V7" i="64"/>
  <c r="T21" i="64" l="1"/>
  <c r="U21" i="64"/>
  <c r="V9" i="64"/>
  <c r="D22" i="74" l="1"/>
  <c r="E22" i="74"/>
  <c r="H22" i="74"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53" i="28"/>
  <c r="C6" i="28" l="1"/>
  <c r="C29" i="28" s="1"/>
  <c r="C55" i="28" l="1"/>
  <c r="E29" i="28"/>
  <c r="C5" i="6"/>
  <c r="F5" i="6"/>
  <c r="G5" i="71"/>
  <c r="E5" i="6"/>
  <c r="J5" i="6" s="1"/>
  <c r="D5" i="6"/>
  <c r="I5" i="6" s="1"/>
  <c r="G5" i="6"/>
  <c r="C5" i="71" l="1"/>
  <c r="E5" i="71"/>
  <c r="F5" i="71"/>
  <c r="D5" i="71"/>
  <c r="E37" i="72" l="1"/>
  <c r="C5" i="73" s="1"/>
  <c r="C8" i="73" s="1"/>
  <c r="C13" i="73" s="1"/>
  <c r="C37" i="72"/>
  <c r="H24" i="96" s="1"/>
  <c r="C38" i="72" l="1"/>
</calcChain>
</file>

<file path=xl/sharedStrings.xml><?xml version="1.0" encoding="utf-8"?>
<sst xmlns="http://schemas.openxmlformats.org/spreadsheetml/2006/main" count="1590" uniqueCount="987">
  <si>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</si>
  <si>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</si>
  <si>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</si>
  <si>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</si>
  <si>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</si>
  <si>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</si>
  <si>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</si>
  <si>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</si>
  <si>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</si>
  <si>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</si>
  <si>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</si>
  <si>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</si>
  <si>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</si>
  <si>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</si>
  <si>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</si>
  <si>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</si>
  <si>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</si>
  <si>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</si>
  <si>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</si>
  <si>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</si>
  <si>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</si>
  <si>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</si>
  <si>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</si>
  <si>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</si>
  <si>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</si>
  <si>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</si>
  <si>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</si>
  <si>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</si>
  <si>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</si>
  <si>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</si>
  <si>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</si>
  <si>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</si>
  <si>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</si>
  <si>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</si>
  <si>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</si>
  <si>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</si>
  <si>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</si>
  <si>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</si>
  <si>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</si>
  <si>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</si>
  <si>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</si>
  <si>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</si>
  <si>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</si>
  <si>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</si>
  <si>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</si>
  <si>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</si>
  <si>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</si>
  <si>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</si>
  <si>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</si>
  <si>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</si>
  <si>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</si>
  <si>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</si>
  <si>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</si>
  <si>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</si>
  <si>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</si>
  <si>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</si>
  <si>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</si>
  <si>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</si>
  <si>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</si>
  <si>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</si>
  <si>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</si>
  <si>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</si>
  <si>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</si>
  <si>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</si>
  <si>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</si>
  <si>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</si>
  <si>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</si>
  <si>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</si>
  <si>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</si>
  <si>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</si>
  <si>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</si>
  <si>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</si>
  <si>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</si>
  <si>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პროცენტი</t>
  </si>
  <si>
    <t>კონტრაგენტთან დაკავშირებული საკრედიტო რისკის მიხედვით შეწონილი რისკის პოზიციები</t>
  </si>
  <si>
    <t>სავალუტო კურსთან დაკავშირებული კონტრაქტები</t>
  </si>
  <si>
    <t>კონტრაქტები 1  წელზე ნაკლები ვადით</t>
  </si>
  <si>
    <t>კონტრაქტები 1–დან 2 წლამდე ვადით</t>
  </si>
  <si>
    <t>კონტრაქტები 2–დან 3 წლამდე ვადით</t>
  </si>
  <si>
    <t>კონტრაქტები 3–დან 4 წლამდე ვადით</t>
  </si>
  <si>
    <t>კონტრაქტები 4–დან 5 წლამდე ვადით</t>
  </si>
  <si>
    <t>კონტრაქტები 5 წელზე მეტი ვადით</t>
  </si>
  <si>
    <t>საპროცენტო განაკვეთთან დაკავშირებული კონტრაქტები</t>
  </si>
  <si>
    <t>რისკის პოზიციების 
ღირებულება</t>
  </si>
  <si>
    <t xml:space="preserve">ნომინალური 
ღირებულება </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</si>
  <si>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</si>
  <si>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</si>
  <si>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</si>
  <si>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</si>
  <si>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</si>
  <si>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</si>
  <si>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</si>
  <si>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</si>
  <si>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</si>
  <si>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</si>
  <si>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</si>
  <si>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</si>
  <si>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</si>
  <si>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</si>
  <si>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</si>
  <si>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</si>
  <si>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</si>
  <si>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</si>
  <si>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</si>
  <si>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</si>
  <si>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</si>
  <si>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</si>
  <si>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</si>
  <si>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</si>
  <si>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</si>
  <si>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</si>
  <si>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</si>
  <si>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</si>
  <si>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</si>
  <si>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</si>
  <si>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</si>
  <si>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</si>
  <si>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</si>
  <si>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</si>
  <si>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</si>
  <si>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</si>
  <si>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</si>
  <si>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</si>
  <si>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</si>
  <si>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</si>
  <si>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</si>
  <si>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</si>
  <si>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</si>
  <si>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</si>
  <si>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</si>
  <si>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</si>
  <si>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</si>
  <si>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</si>
  <si>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</si>
  <si>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</si>
  <si>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</si>
  <si>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</si>
  <si>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</si>
  <si>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</si>
  <si>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</si>
  <si>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</si>
  <si>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</si>
  <si>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</si>
  <si>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</si>
  <si>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</si>
  <si>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</si>
  <si>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</si>
  <si>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</si>
  <si>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</si>
  <si>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</si>
  <si>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</si>
  <si>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</si>
  <si>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</si>
  <si>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</si>
  <si>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</si>
  <si>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</si>
  <si>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</si>
  <si>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</si>
  <si>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</si>
  <si>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</si>
  <si>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</si>
  <si>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</si>
  <si>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</si>
  <si>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</si>
  <si>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</si>
  <si>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</si>
  <si>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</si>
  <si>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</si>
  <si>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</si>
  <si>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</si>
  <si>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</si>
  <si>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</si>
  <si>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</si>
  <si>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</si>
  <si>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</si>
  <si>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</si>
  <si>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</si>
  <si>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</si>
  <si>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</si>
  <si>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</si>
  <si>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</si>
  <si>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</si>
  <si>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</si>
  <si>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</si>
  <si>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</si>
  <si>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</si>
  <si>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</si>
  <si>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</si>
  <si>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</si>
  <si>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</si>
  <si>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</si>
  <si>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</si>
  <si>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</si>
  <si>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</si>
  <si>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</si>
  <si>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</si>
  <si>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</si>
  <si>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</si>
  <si>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</si>
  <si>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</si>
  <si>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</si>
  <si>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</si>
  <si>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</si>
  <si>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</si>
  <si>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</si>
  <si>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</si>
  <si>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</si>
  <si>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</si>
  <si>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</si>
  <si>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</si>
  <si>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</si>
  <si>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</si>
  <si>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</si>
  <si>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</si>
  <si>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</si>
  <si>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</si>
  <si>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</si>
  <si>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</si>
  <si>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</si>
  <si>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</si>
  <si>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</si>
  <si>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</si>
  <si>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</si>
  <si>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</si>
  <si>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</si>
  <si>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</si>
  <si>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</si>
  <si>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</si>
  <si>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</si>
  <si>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</si>
  <si>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</si>
  <si>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</si>
  <si>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</si>
  <si>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</si>
  <si>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</si>
  <si>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</si>
  <si>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</si>
  <si>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</si>
  <si>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</si>
  <si>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</si>
  <si>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</si>
  <si>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</si>
  <si>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</si>
  <si>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</si>
  <si>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</si>
  <si>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</si>
  <si>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</si>
  <si>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</si>
  <si>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</si>
  <si>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</si>
  <si>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</si>
  <si>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</si>
  <si>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</si>
  <si>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</si>
  <si>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</si>
  <si>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</si>
  <si>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</si>
  <si>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</si>
  <si>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</si>
  <si>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</si>
  <si>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</si>
  <si>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</si>
  <si>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ცხრილი 15</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</si>
  <si>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</si>
  <si>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</si>
  <si>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</si>
  <si>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</si>
  <si>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</si>
  <si>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</si>
  <si>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</si>
  <si>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</si>
  <si>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</si>
  <si>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</si>
  <si>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</si>
  <si>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</si>
  <si>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</si>
  <si>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</si>
  <si>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</si>
  <si>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</si>
  <si>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</si>
  <si>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</si>
  <si>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</si>
  <si>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</si>
  <si>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</si>
  <si>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</si>
  <si>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</si>
  <si>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</si>
  <si>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</si>
  <si>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</si>
  <si>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</si>
  <si>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</si>
  <si>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</si>
  <si>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</si>
  <si>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</si>
  <si>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</si>
  <si>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</si>
  <si>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</si>
  <si>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</si>
  <si>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</si>
  <si>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</si>
  <si>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</si>
  <si>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</si>
  <si>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</si>
  <si>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</si>
  <si>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</si>
  <si>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</si>
  <si>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</si>
  <si>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</si>
  <si>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</si>
  <si>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</si>
  <si>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</si>
  <si>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</si>
  <si>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</si>
  <si>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</si>
  <si>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</si>
  <si>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</si>
  <si>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</si>
  <si>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</si>
  <si>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</si>
  <si>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</si>
  <si>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</si>
  <si>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</si>
  <si>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</si>
  <si>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</si>
  <si>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</si>
  <si>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</si>
  <si>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</si>
  <si>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</si>
  <si>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</si>
  <si>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</si>
  <si>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</si>
  <si>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</si>
  <si>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</si>
  <si>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</si>
  <si>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</si>
  <si>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</si>
  <si>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</si>
  <si>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</si>
  <si>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</si>
  <si>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</si>
  <si>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</si>
  <si>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</si>
  <si>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</si>
  <si>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</si>
  <si>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</si>
  <si>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</si>
  <si>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</si>
  <si>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</si>
  <si>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</si>
  <si>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</si>
  <si>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</si>
  <si>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</si>
  <si>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</si>
  <si>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</si>
  <si>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</si>
  <si>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</si>
  <si>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</si>
  <si>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</si>
  <si>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</si>
  <si>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</si>
  <si>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</si>
  <si>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</si>
  <si>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</si>
  <si>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</si>
  <si>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</si>
  <si>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</si>
  <si>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</si>
  <si>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</si>
  <si>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</si>
  <si>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</si>
  <si>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</si>
  <si>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</si>
  <si>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</si>
  <si>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</si>
  <si>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</si>
  <si>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</si>
  <si>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</si>
  <si>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</si>
  <si>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</si>
  <si>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</si>
  <si>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</si>
  <si>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</si>
  <si>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</si>
  <si>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</si>
  <si>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</si>
  <si>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</si>
  <si>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</si>
  <si>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</si>
  <si>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</si>
  <si>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</si>
  <si>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</si>
  <si>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</si>
  <si>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</si>
  <si>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</si>
  <si>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EU-5a</t>
  </si>
  <si>
    <t>კაპიტალის ადეკვატურობის 50-ე მუხლით განსაზღვრული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</si>
  <si>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</si>
  <si>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(მოთხოვნად აღიარებული გადახდილი ვარიაციის მარჟის თანხის დაქვითვა)</t>
  </si>
  <si>
    <t>(ფინანსურ შუამავლობასთან დაკავშირებული რისკის პოზიციების დაქვითვა)</t>
  </si>
  <si>
    <t>გაყიდული კრედიტის წარმოებული ინსტრუმენტების კორექტირებული ეფექტური ნომინალური ღირებულება</t>
  </si>
  <si>
    <t>(ეფექტური ნომინალური ღირებულების დაქვითვები)</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</si>
  <si>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</si>
  <si>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</si>
  <si>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</si>
  <si>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</si>
  <si>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</si>
  <si>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EU-14a</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</si>
  <si>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</si>
  <si>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</si>
  <si>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EU-15a</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</si>
  <si>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</si>
  <si>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</si>
  <si>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</si>
  <si>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</si>
  <si>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</si>
  <si>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</si>
  <si>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</si>
  <si>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EU-19a</t>
  </si>
  <si>
    <t>(შიდაჯგუფური რისკის პოზიციების დაქვითვა)</t>
  </si>
  <si>
    <t>EU-19b</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</si>
  <si>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</si>
  <si>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</si>
  <si>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</si>
  <si>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</si>
  <si>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</si>
  <si>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</si>
  <si>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</si>
  <si>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</si>
  <si>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</si>
  <si>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</si>
  <si>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</si>
  <si>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</si>
  <si>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</si>
  <si>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</si>
  <si>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</si>
  <si>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</si>
  <si>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</si>
  <si>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*COVID-19-თან დაკავშირებული დამატებითი რეზერვების გათვალისწინება ხდება საბალანსო ელემენტებში რისკის მიხედვით შეწონილი რისკის პოზიციების გაანაგარიშების შემდეგ.</t>
  </si>
  <si>
    <t>სხვა კორექტირებების ეფექტი (ასეთის არსებობის შემთხვევაში) *</t>
  </si>
  <si>
    <t>* სხვა კორექტირებები მოიცავს COVID 19-თან დაკავშირებულ რეზერვებსაც დადებითი ნიშნით. აღნიშნულის გამოკლება ხდება რისკის მიხედვით შეწონილი რისკის პოზიციების დაანგარიშების შემდეგ. იხ. ცხრილი "5.RWA"</t>
  </si>
  <si>
    <t>საბალანსო ელემენტები *</t>
  </si>
  <si>
    <t>* COVID 19-თან დაკავშირებული რეზერვები აკლდება საბალანსო ელემენტებს</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</si>
  <si>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</si>
  <si>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</si>
  <si>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</si>
  <si>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</si>
  <si>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</si>
  <si>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</si>
  <si>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</si>
  <si>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</si>
  <si>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</si>
  <si>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</si>
  <si>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</si>
  <si>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</si>
  <si>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</si>
  <si>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</si>
  <si>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</si>
  <si>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</si>
  <si>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</si>
  <si>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</si>
  <si>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</si>
  <si>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</si>
  <si>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</si>
  <si>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</si>
  <si>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</si>
  <si>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</si>
  <si>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</si>
  <si>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</si>
  <si>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</si>
  <si>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</si>
  <si>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</si>
  <si>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</si>
  <si>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</si>
  <si>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</si>
  <si>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</si>
  <si>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</si>
  <si>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</si>
  <si>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</si>
  <si>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</si>
  <si>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</si>
  <si>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</si>
  <si>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</si>
  <si>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</si>
  <si>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</si>
  <si>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</si>
  <si>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</si>
  <si>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</si>
  <si>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</si>
  <si>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</si>
  <si>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</si>
  <si>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</si>
  <si>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</si>
  <si>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</si>
  <si>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</si>
  <si>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</si>
  <si>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</si>
  <si>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</si>
  <si>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</si>
  <si>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</si>
  <si>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</si>
  <si>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</si>
  <si>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</si>
  <si>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</si>
  <si>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</si>
  <si>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</si>
  <si>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</si>
  <si>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</si>
  <si>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</si>
  <si>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</si>
  <si>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</si>
  <si>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</si>
  <si>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</si>
  <si>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</si>
  <si>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</si>
  <si>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</si>
  <si>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</si>
  <si>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</si>
  <si>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</si>
  <si>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</si>
  <si>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</si>
  <si>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</si>
  <si>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</si>
  <si>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</si>
  <si>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</si>
  <si>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</si>
  <si>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</si>
  <si>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</si>
  <si>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</si>
  <si>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</si>
  <si>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</si>
  <si>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</si>
  <si>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</si>
  <si>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</si>
  <si>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</si>
  <si>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</si>
  <si>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</si>
  <si>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</si>
  <si>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</si>
  <si>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</si>
  <si>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</si>
  <si>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</si>
  <si>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</si>
  <si>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</si>
  <si>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</si>
  <si>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</si>
  <si>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</si>
  <si>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</si>
  <si>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</si>
  <si>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</si>
  <si>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</si>
  <si>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</si>
  <si>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</si>
  <si>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</si>
  <si>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</si>
  <si>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</si>
  <si>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</si>
  <si>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</si>
  <si>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</si>
  <si>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</si>
  <si>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</si>
  <si>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</si>
  <si>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</si>
  <si>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</si>
  <si>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</si>
  <si>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</si>
  <si>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</si>
  <si>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</si>
  <si>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</si>
  <si>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</si>
  <si>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</si>
  <si>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</si>
  <si>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</si>
  <si>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</si>
  <si>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</si>
  <si>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</si>
  <si>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</si>
  <si>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</si>
  <si>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</si>
  <si>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</si>
  <si>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</si>
  <si>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</si>
  <si>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</si>
  <si>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</si>
  <si>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</si>
  <si>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</si>
  <si>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</si>
  <si>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</si>
  <si>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</si>
  <si>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</si>
  <si>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</si>
  <si>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</si>
  <si>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</si>
  <si>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</si>
  <si>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</si>
  <si>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</si>
  <si>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</si>
  <si>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</si>
  <si>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</si>
  <si>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</si>
  <si>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</si>
  <si>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</si>
  <si>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</si>
  <si>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</si>
  <si>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</si>
  <si>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</si>
  <si>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</si>
  <si>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</si>
  <si>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</si>
  <si>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</si>
  <si>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</si>
  <si>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</si>
  <si>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</si>
  <si>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</si>
  <si>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</si>
  <si>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</si>
  <si>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</si>
  <si>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</si>
  <si>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</si>
  <si>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</si>
  <si>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</si>
  <si>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</si>
  <si>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</si>
  <si>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</si>
  <si>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</si>
  <si>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</si>
  <si>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</si>
  <si>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</si>
  <si>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</si>
  <si>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</si>
  <si>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</si>
  <si>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</si>
  <si>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</si>
  <si>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</si>
  <si>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</si>
  <si>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</si>
  <si>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</si>
  <si>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</si>
  <si>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</si>
  <si>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</si>
  <si>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</si>
  <si>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</si>
  <si>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</si>
  <si>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</si>
  <si>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</si>
  <si>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</si>
  <si>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</si>
  <si>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</si>
  <si>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</si>
  <si>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</si>
  <si>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</si>
  <si>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</si>
  <si>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</si>
  <si>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</si>
  <si>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</si>
  <si>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</si>
  <si>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</si>
  <si>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</si>
  <si>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</si>
  <si>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</si>
  <si>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</si>
  <si>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</si>
  <si>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</si>
  <si>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</si>
  <si>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</si>
  <si>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</si>
  <si>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</si>
  <si>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</si>
  <si>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</si>
  <si>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</si>
  <si>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</si>
  <si>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</si>
  <si>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</si>
  <si>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</si>
  <si>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</si>
  <si>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</si>
  <si>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</si>
  <si>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</si>
  <si>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</si>
  <si>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</si>
  <si>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</si>
  <si>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</si>
  <si>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</si>
  <si>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</si>
  <si>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</si>
  <si>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</si>
  <si>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</si>
  <si>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</si>
  <si>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</si>
  <si>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r>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r>
    <r>
      <rPr>
        <sz val="8"/>
        <color rgb="FFFF0000"/>
        <rFont val="Sylfaen"/>
        <family val="1"/>
      </rPr>
      <t xml:space="preserve">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r>
  </si>
  <si>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</si>
  <si>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</si>
  <si>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</si>
  <si>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</si>
  <si>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</si>
  <si>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</si>
  <si>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</si>
  <si>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</si>
  <si>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</si>
  <si>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</si>
  <si>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</si>
  <si>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</si>
  <si>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</si>
  <si>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</si>
  <si>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</si>
  <si>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</si>
  <si>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</si>
  <si>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</si>
  <si>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</si>
  <si>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</si>
  <si>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</si>
  <si>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</si>
  <si>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</si>
  <si>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</si>
  <si>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</si>
  <si>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</si>
  <si>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</si>
  <si>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</si>
  <si>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</si>
  <si>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</si>
  <si>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</si>
  <si>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</si>
  <si>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</si>
  <si>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</si>
  <si>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</si>
  <si>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</si>
  <si>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</si>
  <si>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</si>
  <si>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</si>
  <si>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</si>
  <si>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</si>
  <si>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</si>
  <si>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</si>
  <si>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</si>
  <si>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</si>
  <si>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</si>
  <si>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</si>
  <si>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</si>
  <si>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</si>
  <si>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</si>
  <si>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</si>
  <si>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</si>
  <si>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</si>
  <si>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</si>
  <si>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</si>
  <si>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</si>
  <si>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</si>
  <si>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</si>
  <si>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</si>
  <si>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</si>
  <si>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</si>
  <si>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</si>
  <si>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</si>
  <si>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</si>
  <si>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</si>
  <si>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</si>
  <si>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</si>
  <si>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</si>
  <si>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</si>
  <si>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</si>
  <si>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</si>
  <si>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</si>
  <si>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</si>
  <si>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</si>
  <si>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</si>
  <si>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</si>
  <si>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</si>
  <si>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</si>
  <si>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</si>
  <si>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</si>
  <si>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</si>
  <si>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</si>
  <si>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</si>
  <si>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</si>
  <si>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</si>
  <si>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</si>
  <si>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</si>
  <si>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</si>
  <si>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</si>
  <si>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</si>
  <si>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</si>
  <si>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</si>
  <si>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</si>
  <si>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</si>
  <si>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</si>
  <si>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</si>
  <si>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</si>
  <si>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</si>
  <si>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</si>
  <si>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</si>
  <si>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</si>
  <si>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</si>
  <si>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</si>
  <si>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</si>
  <si>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</si>
  <si>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</si>
  <si>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</si>
  <si>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</si>
  <si>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</si>
  <si>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</si>
  <si>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</si>
  <si>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</si>
  <si>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</si>
  <si>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</si>
  <si>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</si>
  <si>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</si>
  <si>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</si>
  <si>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</si>
  <si>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</si>
  <si>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</si>
  <si>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</si>
  <si>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</si>
  <si>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</si>
  <si>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</si>
  <si>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</si>
  <si>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</si>
  <si>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</si>
  <si>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</si>
  <si>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</si>
  <si>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</si>
  <si>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</si>
  <si>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</si>
  <si>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</si>
  <si>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</si>
  <si>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</si>
  <si>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</si>
  <si>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</si>
  <si>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</si>
  <si>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</si>
  <si>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</si>
  <si>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</si>
  <si>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</si>
  <si>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</si>
  <si>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</si>
  <si>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</si>
  <si>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</si>
  <si>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</si>
  <si>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</si>
  <si>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</si>
  <si>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</si>
  <si>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</si>
  <si>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</si>
  <si>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</si>
  <si>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</si>
  <si>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</si>
  <si>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</si>
  <si>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</si>
  <si>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</si>
  <si>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</si>
  <si>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</si>
  <si>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</si>
  <si>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</si>
  <si>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</si>
  <si>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</si>
  <si>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</si>
  <si>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</si>
  <si>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</si>
  <si>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</si>
  <si>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</si>
  <si>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</si>
  <si>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</si>
  <si>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</si>
  <si>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</si>
  <si>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</si>
  <si>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</si>
  <si>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</si>
  <si>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</si>
  <si>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</si>
  <si>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</si>
  <si>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</si>
  <si>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</si>
  <si>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</si>
  <si>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</si>
  <si>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</si>
  <si>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</si>
  <si>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</si>
  <si>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</si>
  <si>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</si>
  <si>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</si>
  <si>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</si>
  <si>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</si>
  <si>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</si>
  <si>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</si>
  <si>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</si>
  <si>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</si>
  <si>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</si>
  <si>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</si>
  <si>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</si>
  <si>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</si>
  <si>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</si>
  <si>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</si>
  <si>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</si>
  <si>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</si>
  <si>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</si>
  <si>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</si>
  <si>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</si>
  <si>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</si>
  <si>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</si>
  <si>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</si>
  <si>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</si>
  <si>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</si>
  <si>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</si>
  <si>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</si>
  <si>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</si>
  <si>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</si>
  <si>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</si>
  <si>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</si>
  <si>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</si>
  <si>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</si>
  <si>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</si>
  <si>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</si>
  <si>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</si>
  <si>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</si>
  <si>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</si>
  <si>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</si>
  <si>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</si>
  <si>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</si>
  <si>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</si>
  <si>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</si>
  <si>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</si>
  <si>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</si>
  <si>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</si>
  <si>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</si>
  <si>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</si>
  <si>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</si>
  <si>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</si>
  <si>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</si>
  <si>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</si>
  <si>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</si>
  <si>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</si>
  <si>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</si>
  <si>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</si>
  <si>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</si>
  <si>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</si>
  <si>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</si>
  <si>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</si>
  <si>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</si>
  <si>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</si>
  <si>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</si>
  <si>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</si>
  <si>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</si>
  <si>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</si>
  <si>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</si>
  <si>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</si>
  <si>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</si>
  <si>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</si>
  <si>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</si>
  <si>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</si>
  <si>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r>
      <t xml:space="preserve">უმოქმედო სესხები – მთლიანი სესხებიდან </t>
    </r>
    <r>
      <rPr>
        <sz val="8"/>
        <color rgb="FFFF0000"/>
        <rFont val="Sylfaen"/>
        <family val="1"/>
      </rPr>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</si>
  <si>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</si>
  <si>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</si>
  <si>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r>
      <t xml:space="preserve">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</si>
  <si>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</si>
  <si>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r>
      <t xml:space="preserve">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t>
    </r>
    <r>
      <rPr>
        <sz val="8"/>
        <color rgb="FFFF0000"/>
        <rFont val="Sylfaen"/>
        <family val="1"/>
      </rPr>
      <t>არ შედის მოსალოდნელი საკრედიტო ზარალი სესხების აუთვისებელ ნაწილზე</t>
    </r>
  </si>
  <si>
    <r>
      <t xml:space="preserve">1.1 ველში შემავალი უზრუნველყოფილი სესხების მოსალოდნელი საკრედიტო ზარალი 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</si>
  <si>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r>
      <t>მოსალოდნელი საკრედიტო ზარალი IFRS 9-ის შესაბამისად,</t>
    </r>
    <r>
      <rPr>
        <sz val="8"/>
        <color rgb="FFFF0000"/>
        <rFont val="Sylfaen"/>
        <family val="1"/>
      </rPr>
      <t xml:space="preserve"> არ შედის მოსალოდნელი საკრედიტო ზარალი სესხების აუთვისებელ ნაწილზე</t>
    </r>
  </si>
  <si>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</si>
  <si>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</si>
  <si>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</si>
  <si>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</si>
  <si>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JSC "VTB Bank (Georgia)"</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</si>
  <si>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</si>
  <si>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</si>
  <si>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</si>
  <si>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</si>
  <si>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</si>
  <si>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</si>
  <si>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</si>
  <si>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</si>
  <si>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</si>
  <si>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</si>
  <si>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</si>
  <si>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</si>
  <si>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</si>
  <si>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</si>
  <si>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</si>
  <si>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</si>
  <si>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</si>
  <si>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</si>
  <si>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</si>
  <si>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</si>
  <si>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</si>
  <si>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</si>
  <si>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</si>
  <si>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xml:space="preserve">
</t>
  </si>
  <si>
    <t xml:space="preserve">"საქართველოს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 </t>
  </si>
  <si>
    <t/>
  </si>
  <si>
    <t>სვეტლანა კარალიოვა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</si>
</sst>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0.000%"/>
  </numFmts>
  <fonts count="14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b/>
      <i/>
      <sz val="11"/>
      <color theme="1"/>
      <name val="Calibri"/>
      <family val="2"/>
      <scheme val="minor"/>
    </font>
    <font>
      <sz val="10"/>
      <color theme="1"/>
      <name val="Arial"/>
      <family val="2"/>
    </font>
    <font>
      <sz val="11"/>
      <color theme="1"/>
      <name val="Arial"/>
      <family val="2"/>
    </font>
    <font>
      <sz val="9"/>
      <color rgb="FFFF0000"/>
      <name val="Sylfaen"/>
      <family val="1"/>
    </font>
    <font>
      <b/>
      <sz val="6"/>
      <color theme="1"/>
      <name val="Calibri"/>
      <family val="2"/>
      <scheme val="minor"/>
    </font>
    <font>
      <sz val="9"/>
      <color rgb="FFFF0000"/>
      <name val="Calibri"/>
      <family val="1"/>
      <scheme val="minor"/>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5F5F5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s>
  <borders count="177">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865">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71" fontId="25" fillId="37" borderId="0"/>
    <xf numFmtId="172" fontId="25" fillId="37" borderId="0"/>
    <xf numFmtId="171" fontId="25" fillId="37" borderId="0"/>
    <xf numFmtId="0" fontId="26" fillId="38"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0" fontId="26" fillId="3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0" fontId="26" fillId="46"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0" fontId="26" fillId="47"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0" fontId="28" fillId="48"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0" fontId="28" fillId="46"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0" fontId="28" fillId="51"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6" fillId="55" borderId="0" applyNumberFormat="0" applyBorder="0" applyAlignment="0" applyProtection="0"/>
    <xf numFmtId="0" fontId="26" fillId="59" borderId="0" applyNumberFormat="0" applyBorder="0" applyAlignment="0" applyProtection="0"/>
    <xf numFmtId="0" fontId="28" fillId="56"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6" fillId="52" borderId="0" applyNumberFormat="0" applyBorder="0" applyAlignment="0" applyProtection="0"/>
    <xf numFmtId="0" fontId="26" fillId="56" borderId="0" applyNumberFormat="0" applyBorder="0" applyAlignment="0" applyProtection="0"/>
    <xf numFmtId="0" fontId="28" fillId="56"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61"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6" fillId="55" borderId="0" applyNumberFormat="0" applyBorder="0" applyAlignment="0" applyProtection="0"/>
    <xf numFmtId="0" fontId="26" fillId="62"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0" fontId="31" fillId="39" borderId="0" applyNumberFormat="0" applyBorder="0" applyAlignment="0" applyProtection="0"/>
    <xf numFmtId="173" fontId="34"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4" fontId="36" fillId="0" borderId="0" applyFill="0" applyBorder="0" applyAlignment="0"/>
    <xf numFmtId="174" fontId="36"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5" fontId="36" fillId="0" borderId="0" applyFill="0" applyBorder="0" applyAlignment="0"/>
    <xf numFmtId="176" fontId="36" fillId="0" borderId="0" applyFill="0" applyBorder="0" applyAlignment="0"/>
    <xf numFmtId="177" fontId="36" fillId="0" borderId="0" applyFill="0" applyBorder="0" applyAlignment="0"/>
    <xf numFmtId="178"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2"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40"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5" fontId="36"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4" fillId="0" borderId="0"/>
    <xf numFmtId="14" fontId="45" fillId="0" borderId="0" applyFill="0" applyBorder="0" applyAlignment="0"/>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0" applyFont="0" applyFill="0" applyBorder="0" applyAlignment="0" applyProtection="0"/>
    <xf numFmtId="183" fontId="2" fillId="0" borderId="0" applyFont="0" applyFill="0" applyBorder="0" applyAlignment="0" applyProtection="0"/>
    <xf numFmtId="0" fontId="46" fillId="66" borderId="0" applyNumberFormat="0" applyBorder="0" applyAlignment="0" applyProtection="0"/>
    <xf numFmtId="0" fontId="46" fillId="67" borderId="0" applyNumberFormat="0" applyBorder="0" applyAlignment="0" applyProtection="0"/>
    <xf numFmtId="0" fontId="46" fillId="68" borderId="0" applyNumberFormat="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0" fontId="47" fillId="0" borderId="0" applyNumberFormat="0" applyFill="0" applyBorder="0" applyAlignment="0" applyProtection="0"/>
    <xf numFmtId="171" fontId="2" fillId="0" borderId="0"/>
    <xf numFmtId="0" fontId="2" fillId="0" borderId="0"/>
    <xf numFmtId="171"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40"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0" fontId="50" fillId="4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0" fontId="50" fillId="40" borderId="0" applyNumberFormat="0" applyBorder="0" applyAlignment="0" applyProtection="0"/>
    <xf numFmtId="0" fontId="2" fillId="69"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71"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71" fontId="53" fillId="0" borderId="9">
      <alignment horizontal="left" vertical="center"/>
    </xf>
    <xf numFmtId="0" fontId="54" fillId="0" borderId="41" applyNumberFormat="0" applyFill="0" applyAlignment="0" applyProtection="0"/>
    <xf numFmtId="172" fontId="54" fillId="0" borderId="41" applyNumberFormat="0" applyFill="0" applyAlignment="0" applyProtection="0"/>
    <xf numFmtId="0"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0" fontId="54" fillId="0" borderId="41" applyNumberFormat="0" applyFill="0" applyAlignment="0" applyProtection="0"/>
    <xf numFmtId="0" fontId="55" fillId="0" borderId="42" applyNumberFormat="0" applyFill="0" applyAlignment="0" applyProtection="0"/>
    <xf numFmtId="172" fontId="55" fillId="0" borderId="42" applyNumberFormat="0" applyFill="0" applyAlignment="0" applyProtection="0"/>
    <xf numFmtId="0"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0" fontId="55" fillId="0" borderId="42"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0" fontId="56" fillId="0" borderId="0" applyNumberFormat="0" applyFill="0" applyBorder="0" applyAlignment="0" applyProtection="0"/>
    <xf numFmtId="37" fontId="57" fillId="0" borderId="0"/>
    <xf numFmtId="171" fontId="58" fillId="0" borderId="0"/>
    <xf numFmtId="0" fontId="58" fillId="0" borderId="0"/>
    <xf numFmtId="171" fontId="58" fillId="0" borderId="0"/>
    <xf numFmtId="171" fontId="53" fillId="0" borderId="0"/>
    <xf numFmtId="0" fontId="53" fillId="0" borderId="0"/>
    <xf numFmtId="171" fontId="53" fillId="0" borderId="0"/>
    <xf numFmtId="171" fontId="59" fillId="0" borderId="0"/>
    <xf numFmtId="0" fontId="59" fillId="0" borderId="0"/>
    <xf numFmtId="171" fontId="59"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0" fontId="61" fillId="70" borderId="8" applyFont="0" applyBorder="0">
      <alignment horizontal="center" wrapText="1"/>
    </xf>
    <xf numFmtId="3" fontId="2" fillId="71" borderId="3" applyFont="0" applyProtection="0">
      <alignment horizontal="right" vertical="center"/>
    </xf>
    <xf numFmtId="9" fontId="2" fillId="71" borderId="3" applyFont="0" applyProtection="0">
      <alignment horizontal="right" vertical="center"/>
    </xf>
    <xf numFmtId="0" fontId="2" fillId="71"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3" fillId="0" borderId="0" applyNumberFormat="0" applyFill="0" applyBorder="0" applyAlignment="0" applyProtection="0">
      <alignment vertical="top"/>
      <protection locked="0"/>
    </xf>
    <xf numFmtId="172" fontId="63" fillId="0" borderId="0" applyNumberFormat="0" applyFill="0" applyBorder="0" applyAlignment="0" applyProtection="0">
      <alignment vertical="top"/>
      <protection locked="0"/>
    </xf>
    <xf numFmtId="171" fontId="63" fillId="0" borderId="0" applyNumberFormat="0" applyFill="0" applyBorder="0" applyAlignment="0" applyProtection="0">
      <alignment vertical="top"/>
      <protection locked="0"/>
    </xf>
    <xf numFmtId="171" fontId="64" fillId="0" borderId="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2"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0" fontId="65" fillId="43" borderId="38" applyNumberFormat="0" applyAlignment="0" applyProtection="0"/>
    <xf numFmtId="3" fontId="2" fillId="72" borderId="3" applyFont="0">
      <alignment horizontal="right" vertical="center"/>
      <protection locked="0"/>
    </xf>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68" fillId="0" borderId="44"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0" fontId="68" fillId="0" borderId="44"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0" fontId="68" fillId="0" borderId="44"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1" fillId="73"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0" fontId="71" fillId="73"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0" fontId="71" fillId="73" borderId="0" applyNumberFormat="0" applyBorder="0" applyAlignment="0" applyProtection="0"/>
    <xf numFmtId="1" fontId="74" fillId="0" borderId="0" applyProtection="0"/>
    <xf numFmtId="171" fontId="25" fillId="0" borderId="45"/>
    <xf numFmtId="172" fontId="25" fillId="0" borderId="45"/>
    <xf numFmtId="171" fontId="25"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5" fillId="0" borderId="0"/>
    <xf numFmtId="184" fontId="2"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0" fontId="76" fillId="0" borderId="0"/>
    <xf numFmtId="0" fontId="75" fillId="0" borderId="0"/>
    <xf numFmtId="182" fontId="27" fillId="0" borderId="0"/>
    <xf numFmtId="182" fontId="2" fillId="0" borderId="0"/>
    <xf numFmtId="182" fontId="2" fillId="0" borderId="0"/>
    <xf numFmtId="0" fontId="2" fillId="0" borderId="0"/>
    <xf numFmtId="0" fontId="2"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7"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7" fillId="0" borderId="0"/>
    <xf numFmtId="0" fontId="27" fillId="0" borderId="0"/>
    <xf numFmtId="171"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71" fontId="27" fillId="0" borderId="0"/>
    <xf numFmtId="0" fontId="27" fillId="0" borderId="0"/>
    <xf numFmtId="0" fontId="27"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182" fontId="27" fillId="0" borderId="0"/>
    <xf numFmtId="182" fontId="27"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27" fillId="0" borderId="0"/>
    <xf numFmtId="182" fontId="27" fillId="0" borderId="0"/>
    <xf numFmtId="182" fontId="27" fillId="0" borderId="0"/>
    <xf numFmtId="182"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4" fillId="0" borderId="0"/>
    <xf numFmtId="0" fontId="27" fillId="0" borderId="0"/>
    <xf numFmtId="0" fontId="2" fillId="0" borderId="0"/>
    <xf numFmtId="0" fontId="26" fillId="0" borderId="0"/>
    <xf numFmtId="171" fontId="24" fillId="0" borderId="0"/>
    <xf numFmtId="0" fontId="2"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7" fillId="0" borderId="0"/>
    <xf numFmtId="0" fontId="27" fillId="0" borderId="0"/>
    <xf numFmtId="171" fontId="24" fillId="0" borderId="0"/>
    <xf numFmtId="0" fontId="64" fillId="0" borderId="0"/>
    <xf numFmtId="0" fontId="2" fillId="0" borderId="0"/>
    <xf numFmtId="171" fontId="24" fillId="0" borderId="0"/>
    <xf numFmtId="0" fontId="1"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182" fontId="2" fillId="0" borderId="0"/>
    <xf numFmtId="0" fontId="2" fillId="0" borderId="0"/>
    <xf numFmtId="182" fontId="2" fillId="0" borderId="0"/>
    <xf numFmtId="0" fontId="2" fillId="0" borderId="0"/>
    <xf numFmtId="182"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182"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82" fontId="2"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5" fillId="0" borderId="0"/>
    <xf numFmtId="0" fontId="8"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82" fontId="8" fillId="0" borderId="0"/>
    <xf numFmtId="0" fontId="25" fillId="0" borderId="0"/>
    <xf numFmtId="182"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5" fillId="0" borderId="0"/>
    <xf numFmtId="182" fontId="8"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71" fontId="25" fillId="0" borderId="0"/>
    <xf numFmtId="0" fontId="75"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71" fontId="8" fillId="0" borderId="0"/>
    <xf numFmtId="0" fontId="75" fillId="0" borderId="0"/>
    <xf numFmtId="171"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82"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82"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5"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182" fontId="25" fillId="0" borderId="0"/>
    <xf numFmtId="182" fontId="25"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3" fillId="0" borderId="0"/>
    <xf numFmtId="0" fontId="2" fillId="0" borderId="0"/>
    <xf numFmtId="0" fontId="75" fillId="0" borderId="0"/>
    <xf numFmtId="171" fontId="43"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2"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2"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71"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79" fillId="0" borderId="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2"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171" fontId="2" fillId="0" borderId="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0" fillId="0" borderId="0">
      <alignment horizontal="left"/>
    </xf>
    <xf numFmtId="0" fontId="2" fillId="0" borderId="0"/>
    <xf numFmtId="0" fontId="2" fillId="0" borderId="0"/>
    <xf numFmtId="171" fontId="2" fillId="0" borderId="0"/>
    <xf numFmtId="3" fontId="2" fillId="75" borderId="3" applyFont="0">
      <alignment horizontal="right" vertical="center"/>
      <protection locked="0"/>
    </xf>
    <xf numFmtId="171" fontId="81" fillId="0" borderId="0"/>
    <xf numFmtId="0" fontId="81" fillId="0" borderId="0"/>
    <xf numFmtId="171" fontId="81" fillId="0" borderId="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2"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24" fillId="0" borderId="0"/>
    <xf numFmtId="178" fontId="36" fillId="0" borderId="0" applyFont="0" applyFill="0" applyBorder="0" applyAlignment="0" applyProtection="0"/>
    <xf numFmtId="189"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xf numFmtId="0" fontId="2" fillId="0" borderId="0"/>
    <xf numFmtId="171" fontId="2" fillId="0" borderId="0"/>
    <xf numFmtId="190" fontId="64" fillId="0" borderId="3" applyNumberFormat="0">
      <alignment horizontal="center" vertical="top" wrapText="1"/>
    </xf>
    <xf numFmtId="0" fontId="86" fillId="0" borderId="0" applyNumberFormat="0" applyFill="0" applyBorder="0" applyAlignment="0" applyProtection="0"/>
    <xf numFmtId="3" fontId="2" fillId="70" borderId="3" applyFont="0">
      <alignment horizontal="right" vertical="center"/>
    </xf>
    <xf numFmtId="191" fontId="2" fillId="70" borderId="3" applyFont="0">
      <alignment horizontal="right" vertical="center"/>
    </xf>
    <xf numFmtId="0" fontId="87" fillId="0" borderId="0"/>
    <xf numFmtId="0" fontId="24" fillId="0" borderId="0"/>
    <xf numFmtId="0" fontId="88" fillId="0" borderId="0"/>
    <xf numFmtId="0" fontId="88" fillId="0" borderId="0"/>
    <xf numFmtId="171" fontId="24" fillId="0" borderId="0"/>
    <xf numFmtId="171"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92" fontId="36" fillId="0" borderId="0" applyFill="0" applyBorder="0" applyAlignment="0"/>
    <xf numFmtId="193" fontId="36" fillId="0" borderId="0" applyFill="0" applyBorder="0" applyAlignment="0"/>
    <xf numFmtId="0" fontId="91" fillId="0" borderId="0">
      <alignment horizontal="center" vertical="top"/>
    </xf>
    <xf numFmtId="0"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0" fontId="92" fillId="0" borderId="0" applyNumberFormat="0" applyFill="0" applyBorder="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24" fillId="0" borderId="49"/>
    <xf numFmtId="188" fontId="80"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5" fillId="0" borderId="0" applyFont="0" applyFill="0" applyBorder="0" applyAlignment="0" applyProtection="0"/>
    <xf numFmtId="195"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165" fontId="97" fillId="0" borderId="0" applyFont="0" applyFill="0" applyBorder="0" applyAlignment="0" applyProtection="0"/>
    <xf numFmtId="166"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2"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91" fontId="2" fillId="70" borderId="99" applyFont="0">
      <alignment horizontal="right" vertical="center"/>
    </xf>
    <xf numFmtId="3" fontId="2" fillId="70" borderId="99" applyFont="0">
      <alignment horizontal="right" vertical="center"/>
    </xf>
    <xf numFmtId="0" fontId="82"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2"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3" fontId="2" fillId="75" borderId="99" applyFont="0">
      <alignment horizontal="right" vertical="center"/>
      <protection locked="0"/>
    </xf>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3" fontId="2" fillId="72" borderId="99" applyFont="0">
      <alignment horizontal="right" vertical="center"/>
      <protection locked="0"/>
    </xf>
    <xf numFmtId="0" fontId="65"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2"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2" fillId="71" borderId="100" applyNumberFormat="0" applyFont="0" applyBorder="0" applyProtection="0">
      <alignment horizontal="left" vertical="center"/>
    </xf>
    <xf numFmtId="9" fontId="2" fillId="71" borderId="99" applyFont="0" applyProtection="0">
      <alignment horizontal="right" vertical="center"/>
    </xf>
    <xf numFmtId="3" fontId="2" fillId="71" borderId="99" applyFont="0" applyProtection="0">
      <alignment horizontal="right" vertical="center"/>
    </xf>
    <xf numFmtId="0" fontId="61" fillId="70" borderId="100" applyFont="0" applyBorder="0">
      <alignment horizontal="center" wrapText="1"/>
    </xf>
    <xf numFmtId="171" fontId="53" fillId="0" borderId="97">
      <alignment horizontal="left" vertical="center"/>
    </xf>
    <xf numFmtId="0" fontId="53" fillId="0" borderId="97">
      <alignment horizontal="left" vertical="center"/>
    </xf>
    <xf numFmtId="0" fontId="53" fillId="0" borderId="97">
      <alignment horizontal="left" vertical="center"/>
    </xf>
    <xf numFmtId="0" fontId="2" fillId="69" borderId="99" applyNumberFormat="0" applyFont="0" applyBorder="0" applyProtection="0">
      <alignment horizontal="center" vertical="center"/>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7"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2"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1" fillId="0" borderId="0"/>
    <xf numFmtId="172" fontId="25" fillId="37" borderId="0"/>
    <xf numFmtId="0" fontId="2" fillId="0" borderId="0">
      <alignment vertical="center"/>
    </xf>
    <xf numFmtId="169" fontId="1" fillId="0" borderId="0" applyFont="0" applyFill="0" applyBorder="0" applyAlignment="0" applyProtection="0"/>
    <xf numFmtId="0" fontId="127" fillId="0" borderId="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2"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2" fillId="69" borderId="148" applyNumberFormat="0" applyFont="0" applyBorder="0" applyProtection="0">
      <alignment horizontal="center" vertical="center"/>
    </xf>
    <xf numFmtId="0" fontId="53" fillId="0" borderId="153">
      <alignment horizontal="left" vertical="center"/>
    </xf>
    <xf numFmtId="0" fontId="53" fillId="0" borderId="153">
      <alignment horizontal="left" vertical="center"/>
    </xf>
    <xf numFmtId="171" fontId="53" fillId="0" borderId="153">
      <alignment horizontal="left" vertical="center"/>
    </xf>
    <xf numFmtId="0" fontId="61" fillId="70" borderId="151" applyFont="0" applyBorder="0">
      <alignment horizontal="center" wrapText="1"/>
    </xf>
    <xf numFmtId="3" fontId="2" fillId="71" borderId="148" applyFont="0" applyProtection="0">
      <alignment horizontal="right" vertical="center"/>
    </xf>
    <xf numFmtId="9" fontId="2" fillId="71" borderId="148" applyFont="0" applyProtection="0">
      <alignment horizontal="right" vertical="center"/>
    </xf>
    <xf numFmtId="0" fontId="2" fillId="71" borderId="151" applyNumberFormat="0" applyFont="0" applyBorder="0" applyProtection="0">
      <alignment horizontal="left" vertical="center"/>
    </xf>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2"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0" fontId="65" fillId="43" borderId="162" applyNumberFormat="0" applyAlignment="0" applyProtection="0"/>
    <xf numFmtId="3" fontId="2" fillId="72" borderId="148" applyFont="0">
      <alignment horizontal="right" vertical="center"/>
      <protection locked="0"/>
    </xf>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3" fontId="2" fillId="75" borderId="148" applyFont="0">
      <alignment horizontal="right" vertical="center"/>
      <protection locked="0"/>
    </xf>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2"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0" fontId="82" fillId="64" borderId="164" applyNumberFormat="0" applyAlignment="0" applyProtection="0"/>
    <xf numFmtId="3" fontId="2" fillId="70" borderId="148" applyFont="0">
      <alignment horizontal="right" vertical="center"/>
    </xf>
    <xf numFmtId="191" fontId="2" fillId="70" borderId="148" applyFont="0">
      <alignment horizontal="right" vertical="center"/>
    </xf>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2"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1" fillId="0" borderId="0"/>
    <xf numFmtId="43" fontId="1" fillId="0" borderId="0" applyFont="0" applyFill="0" applyBorder="0" applyAlignment="0" applyProtection="0"/>
  </cellStyleXfs>
  <cellXfs count="988">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2" fillId="0" borderId="0" xfId="0" applyFont="1" applyAlignment="1">
      <alignment horizontal="center"/>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6" borderId="3" xfId="0" applyFont="1" applyFill="1" applyBorder="1" applyAlignment="1">
      <alignment horizontal="left" vertical="top" wrapText="1"/>
    </xf>
    <xf numFmtId="1" fontId="15" fillId="36" borderId="3" xfId="2" applyNumberFormat="1" applyFont="1" applyFill="1" applyBorder="1" applyAlignment="1" applyProtection="1">
      <alignment horizontal="left" vertical="top" wrapText="1"/>
    </xf>
    <xf numFmtId="0" fontId="15" fillId="36"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21" fillId="0" borderId="0" xfId="0" applyFont="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167"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9" fillId="3" borderId="3" xfId="5" applyFont="1" applyFill="1" applyBorder="1" applyProtection="1">
      <protection locked="0"/>
    </xf>
    <xf numFmtId="0" fontId="9" fillId="0" borderId="3" xfId="13" applyFont="1" applyFill="1" applyBorder="1" applyAlignment="1" applyProtection="1">
      <alignment horizontal="center" vertical="center" wrapText="1"/>
      <protection locked="0"/>
    </xf>
    <xf numFmtId="0" fontId="9" fillId="3" borderId="3" xfId="13" applyFont="1" applyFill="1" applyBorder="1" applyAlignment="1" applyProtection="1">
      <alignment horizontal="center" vertical="center" wrapText="1"/>
      <protection locked="0"/>
    </xf>
    <xf numFmtId="3" fontId="9" fillId="3" borderId="3" xfId="1" applyNumberFormat="1" applyFont="1" applyFill="1" applyBorder="1" applyAlignment="1" applyProtection="1">
      <alignment horizontal="center" vertical="center" wrapText="1"/>
      <protection locked="0"/>
    </xf>
    <xf numFmtId="9" fontId="9" fillId="3" borderId="3" xfId="15" applyNumberFormat="1" applyFont="1" applyFill="1" applyBorder="1" applyAlignment="1" applyProtection="1">
      <alignment horizontal="center" vertical="center"/>
      <protection locked="0"/>
    </xf>
    <xf numFmtId="0" fontId="10" fillId="3" borderId="3" xfId="13" applyFont="1" applyFill="1" applyBorder="1" applyAlignment="1" applyProtection="1">
      <alignment wrapText="1"/>
      <protection locked="0"/>
    </xf>
    <xf numFmtId="0" fontId="9" fillId="3" borderId="3" xfId="13" applyFont="1" applyFill="1" applyBorder="1" applyAlignment="1" applyProtection="1">
      <alignment horizontal="left" vertical="center" wrapText="1"/>
      <protection locked="0"/>
    </xf>
    <xf numFmtId="168" fontId="9" fillId="3" borderId="3" xfId="8" applyNumberFormat="1" applyFont="1" applyFill="1" applyBorder="1" applyAlignment="1" applyProtection="1">
      <alignment horizontal="right" wrapText="1"/>
      <protection locked="0"/>
    </xf>
    <xf numFmtId="0" fontId="9" fillId="0" borderId="3" xfId="13" applyFont="1" applyFill="1" applyBorder="1" applyAlignment="1" applyProtection="1">
      <alignment horizontal="left" vertical="center" wrapText="1"/>
      <protection locked="0"/>
    </xf>
    <xf numFmtId="168" fontId="9" fillId="4" borderId="3" xfId="8" applyNumberFormat="1" applyFont="1" applyFill="1" applyBorder="1" applyAlignment="1" applyProtection="1">
      <alignment horizontal="right" wrapText="1"/>
      <protection locked="0"/>
    </xf>
    <xf numFmtId="0" fontId="10" fillId="0" borderId="3" xfId="13" applyFont="1" applyFill="1" applyBorder="1" applyAlignment="1" applyProtection="1">
      <alignment wrapText="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19" fillId="0" borderId="22" xfId="0" applyFont="1" applyBorder="1" applyAlignment="1">
      <alignment horizontal="center" vertical="center" wrapText="1"/>
    </xf>
    <xf numFmtId="0" fontId="4" fillId="0" borderId="55"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6" borderId="23" xfId="13" applyFont="1" applyFill="1" applyBorder="1" applyAlignment="1" applyProtection="1">
      <alignment vertical="center" wrapText="1"/>
      <protection locked="0"/>
    </xf>
    <xf numFmtId="170" fontId="22" fillId="0" borderId="60" xfId="0" applyNumberFormat="1" applyFont="1" applyBorder="1" applyAlignment="1">
      <alignment horizontal="center"/>
    </xf>
    <xf numFmtId="170" fontId="22" fillId="0" borderId="58" xfId="0" applyNumberFormat="1" applyFont="1" applyBorder="1" applyAlignment="1">
      <alignment horizontal="center"/>
    </xf>
    <xf numFmtId="170" fontId="18" fillId="0" borderId="58" xfId="0" applyNumberFormat="1" applyFont="1" applyBorder="1" applyAlignment="1">
      <alignment horizontal="center"/>
    </xf>
    <xf numFmtId="170" fontId="22" fillId="0" borderId="61" xfId="0" applyNumberFormat="1" applyFont="1" applyBorder="1" applyAlignment="1">
      <alignment horizontal="center"/>
    </xf>
    <xf numFmtId="170" fontId="22" fillId="0" borderId="62"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xf numFmtId="0" fontId="4" fillId="0" borderId="63"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9" fillId="3" borderId="19" xfId="5" applyFont="1" applyFill="1" applyBorder="1" applyAlignment="1" applyProtection="1">
      <alignment horizontal="left" vertical="center"/>
      <protection locked="0"/>
    </xf>
    <xf numFmtId="0" fontId="9" fillId="3" borderId="20" xfId="13" applyFont="1" applyFill="1" applyBorder="1" applyAlignment="1" applyProtection="1">
      <alignment horizontal="center" vertical="center" wrapText="1"/>
      <protection locked="0"/>
    </xf>
    <xf numFmtId="0" fontId="9" fillId="3" borderId="19" xfId="5" applyFont="1" applyFill="1" applyBorder="1" applyAlignment="1" applyProtection="1">
      <alignment horizontal="right" vertical="center"/>
      <protection locked="0"/>
    </xf>
    <xf numFmtId="3" fontId="9" fillId="36" borderId="20" xfId="5" applyNumberFormat="1" applyFont="1" applyFill="1" applyBorder="1" applyProtection="1">
      <protection locked="0"/>
    </xf>
    <xf numFmtId="0" fontId="9" fillId="3" borderId="22" xfId="9" applyFont="1" applyFill="1" applyBorder="1" applyAlignment="1" applyProtection="1">
      <alignment horizontal="right" vertical="center"/>
      <protection locked="0"/>
    </xf>
    <xf numFmtId="0" fontId="10" fillId="3" borderId="23" xfId="16" applyFont="1" applyFill="1" applyBorder="1" applyAlignment="1" applyProtection="1">
      <protection locked="0"/>
    </xf>
    <xf numFmtId="3" fontId="10" fillId="36" borderId="23" xfId="16" applyNumberFormat="1" applyFont="1" applyFill="1" applyBorder="1" applyAlignment="1" applyProtection="1">
      <protection locked="0"/>
    </xf>
    <xf numFmtId="167" fontId="10" fillId="36" borderId="24" xfId="1" applyNumberFormat="1" applyFont="1" applyFill="1" applyBorder="1" applyAlignment="1" applyProtection="1">
      <protection locked="0"/>
    </xf>
    <xf numFmtId="0" fontId="4" fillId="0" borderId="54" xfId="0" applyFont="1" applyBorder="1" applyAlignment="1">
      <alignment horizontal="center"/>
    </xf>
    <xf numFmtId="0" fontId="4" fillId="0" borderId="55"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1" fillId="0" borderId="3" xfId="20960" applyFont="1" applyFill="1" applyBorder="1" applyAlignment="1" applyProtection="1">
      <alignment horizontal="center" vertical="center"/>
    </xf>
    <xf numFmtId="0" fontId="102"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6" borderId="27" xfId="0" applyFont="1" applyFill="1" applyBorder="1" applyAlignment="1">
      <alignment wrapText="1"/>
    </xf>
    <xf numFmtId="0" fontId="4" fillId="0" borderId="9" xfId="0" applyFont="1" applyFill="1" applyBorder="1" applyAlignment="1">
      <alignment vertical="center" wrapText="1"/>
    </xf>
    <xf numFmtId="0" fontId="6" fillId="36" borderId="9" xfId="0" applyFont="1" applyFill="1" applyBorder="1" applyAlignment="1">
      <alignment wrapText="1"/>
    </xf>
    <xf numFmtId="0" fontId="6" fillId="36" borderId="68"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22" xfId="0" applyFont="1" applyFill="1" applyBorder="1" applyAlignment="1">
      <alignment horizontal="center" vertical="center"/>
    </xf>
    <xf numFmtId="0" fontId="104" fillId="0" borderId="0" xfId="0" applyFont="1" applyFill="1" applyBorder="1" applyAlignment="1"/>
    <xf numFmtId="49" fontId="104" fillId="0" borderId="7" xfId="0" applyNumberFormat="1" applyFont="1" applyFill="1" applyBorder="1" applyAlignment="1">
      <alignment horizontal="right" vertical="center"/>
    </xf>
    <xf numFmtId="49" fontId="104" fillId="0" borderId="76" xfId="0" applyNumberFormat="1" applyFont="1" applyFill="1" applyBorder="1" applyAlignment="1">
      <alignment horizontal="right" vertical="center"/>
    </xf>
    <xf numFmtId="49" fontId="104" fillId="0" borderId="79" xfId="0" applyNumberFormat="1" applyFont="1" applyFill="1" applyBorder="1" applyAlignment="1">
      <alignment horizontal="right" vertical="center"/>
    </xf>
    <xf numFmtId="49" fontId="104" fillId="0" borderId="84" xfId="0" applyNumberFormat="1" applyFont="1" applyFill="1" applyBorder="1" applyAlignment="1">
      <alignment horizontal="right" vertical="center"/>
    </xf>
    <xf numFmtId="0" fontId="104" fillId="0" borderId="0" xfId="0" applyFont="1" applyFill="1" applyBorder="1" applyAlignment="1">
      <alignment horizontal="left"/>
    </xf>
    <xf numFmtId="0" fontId="104" fillId="0" borderId="84" xfId="0" applyNumberFormat="1" applyFont="1" applyFill="1" applyBorder="1" applyAlignment="1">
      <alignment horizontal="right" vertical="center"/>
    </xf>
    <xf numFmtId="49" fontId="104" fillId="0" borderId="0" xfId="0" applyNumberFormat="1" applyFont="1" applyFill="1" applyBorder="1" applyAlignment="1">
      <alignment horizontal="right" vertical="center"/>
    </xf>
    <xf numFmtId="0" fontId="104" fillId="0" borderId="0" xfId="0" applyFont="1" applyFill="1" applyBorder="1" applyAlignment="1">
      <alignment vertical="center" wrapText="1"/>
    </xf>
    <xf numFmtId="0" fontId="104"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3" xfId="0" applyNumberFormat="1" applyFont="1" applyFill="1" applyBorder="1" applyAlignment="1" applyProtection="1">
      <alignment vertical="center"/>
      <protection locked="0"/>
    </xf>
    <xf numFmtId="3" fontId="20" fillId="36" borderId="23" xfId="0" applyNumberFormat="1" applyFont="1" applyFill="1" applyBorder="1" applyAlignment="1">
      <alignment vertical="center" wrapText="1"/>
    </xf>
    <xf numFmtId="3" fontId="20" fillId="36" borderId="24" xfId="0" applyNumberFormat="1" applyFont="1" applyFill="1" applyBorder="1" applyAlignment="1">
      <alignment vertical="center" wrapText="1"/>
    </xf>
    <xf numFmtId="196" fontId="0" fillId="36" borderId="18" xfId="0" applyNumberFormat="1" applyFill="1" applyBorder="1" applyAlignment="1">
      <alignment horizontal="center" vertical="center"/>
    </xf>
    <xf numFmtId="196" fontId="0" fillId="0" borderId="20" xfId="0" applyNumberFormat="1" applyBorder="1" applyAlignment="1"/>
    <xf numFmtId="196" fontId="0" fillId="0" borderId="20" xfId="0" applyNumberFormat="1" applyBorder="1" applyAlignment="1">
      <alignment wrapText="1"/>
    </xf>
    <xf numFmtId="196" fontId="0" fillId="36" borderId="20" xfId="0" applyNumberFormat="1" applyFill="1" applyBorder="1" applyAlignment="1">
      <alignment horizontal="center" vertical="center" wrapText="1"/>
    </xf>
    <xf numFmtId="196" fontId="0" fillId="36" borderId="24" xfId="0" applyNumberFormat="1" applyFill="1" applyBorder="1" applyAlignment="1">
      <alignment horizontal="center" vertical="center" wrapText="1"/>
    </xf>
    <xf numFmtId="196" fontId="7" fillId="36" borderId="20" xfId="2" applyNumberFormat="1" applyFont="1" applyFill="1" applyBorder="1" applyAlignment="1" applyProtection="1">
      <alignment vertical="top"/>
    </xf>
    <xf numFmtId="196" fontId="7" fillId="36" borderId="24" xfId="2" applyNumberFormat="1" applyFont="1" applyFill="1" applyBorder="1" applyAlignment="1" applyProtection="1">
      <alignment vertical="top" wrapText="1"/>
    </xf>
    <xf numFmtId="196" fontId="4" fillId="36" borderId="23" xfId="0" applyNumberFormat="1" applyFont="1" applyFill="1" applyBorder="1"/>
    <xf numFmtId="196" fontId="4" fillId="36" borderId="51" xfId="0" applyNumberFormat="1" applyFont="1" applyFill="1" applyBorder="1" applyAlignment="1"/>
    <xf numFmtId="196" fontId="4" fillId="36" borderId="22" xfId="0" applyNumberFormat="1" applyFont="1" applyFill="1" applyBorder="1"/>
    <xf numFmtId="196" fontId="4" fillId="36" borderId="24" xfId="0" applyNumberFormat="1" applyFont="1" applyFill="1" applyBorder="1"/>
    <xf numFmtId="196" fontId="4" fillId="36" borderId="52" xfId="0" applyNumberFormat="1" applyFont="1" applyFill="1" applyBorder="1"/>
    <xf numFmtId="196" fontId="9" fillId="36" borderId="3" xfId="5" applyNumberFormat="1" applyFont="1" applyFill="1" applyBorder="1" applyProtection="1">
      <protection locked="0"/>
    </xf>
    <xf numFmtId="196" fontId="9" fillId="3" borderId="3" xfId="5" applyNumberFormat="1" applyFont="1" applyFill="1" applyBorder="1" applyProtection="1">
      <protection locked="0"/>
    </xf>
    <xf numFmtId="196" fontId="10" fillId="36" borderId="23" xfId="16" applyNumberFormat="1" applyFont="1" applyFill="1" applyBorder="1" applyAlignment="1" applyProtection="1">
      <protection locked="0"/>
    </xf>
    <xf numFmtId="196" fontId="9" fillId="36" borderId="3" xfId="1" applyNumberFormat="1" applyFont="1" applyFill="1" applyBorder="1" applyProtection="1">
      <protection locked="0"/>
    </xf>
    <xf numFmtId="196" fontId="9" fillId="0" borderId="3" xfId="1" applyNumberFormat="1" applyFont="1" applyFill="1" applyBorder="1" applyProtection="1">
      <protection locked="0"/>
    </xf>
    <xf numFmtId="196" fontId="10" fillId="36" borderId="23" xfId="1" applyNumberFormat="1" applyFont="1" applyFill="1" applyBorder="1" applyAlignment="1" applyProtection="1">
      <protection locked="0"/>
    </xf>
    <xf numFmtId="196" fontId="9" fillId="3" borderId="23" xfId="5" applyNumberFormat="1" applyFont="1" applyFill="1" applyBorder="1" applyProtection="1">
      <protection locked="0"/>
    </xf>
    <xf numFmtId="196" fontId="22" fillId="0" borderId="0" xfId="0" applyNumberFormat="1" applyFont="1"/>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5"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0" xfId="20961" applyFont="1" applyBorder="1"/>
    <xf numFmtId="9" fontId="4" fillId="36" borderId="24" xfId="20961" applyFont="1" applyFill="1" applyBorder="1"/>
    <xf numFmtId="170" fontId="6" fillId="36" borderId="23"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72" fontId="25" fillId="37" borderId="0" xfId="20" applyBorder="1"/>
    <xf numFmtId="0" fontId="4" fillId="0" borderId="7" xfId="0" applyFont="1" applyFill="1" applyBorder="1" applyAlignment="1">
      <alignment vertical="center"/>
    </xf>
    <xf numFmtId="0" fontId="4" fillId="0" borderId="99" xfId="0" applyFont="1" applyFill="1" applyBorder="1" applyAlignment="1">
      <alignment vertical="center"/>
    </xf>
    <xf numFmtId="0" fontId="6" fillId="0" borderId="99" xfId="0" applyFont="1" applyFill="1" applyBorder="1" applyAlignment="1">
      <alignment vertical="center"/>
    </xf>
    <xf numFmtId="0" fontId="4" fillId="0" borderId="17" xfId="0" applyFont="1" applyFill="1" applyBorder="1" applyAlignment="1">
      <alignment vertical="center"/>
    </xf>
    <xf numFmtId="0" fontId="4" fillId="0" borderId="94" xfId="0" applyFont="1" applyFill="1" applyBorder="1" applyAlignment="1">
      <alignment vertical="center"/>
    </xf>
    <xf numFmtId="0" fontId="4" fillId="0" borderId="96" xfId="0" applyFont="1" applyFill="1" applyBorder="1" applyAlignment="1">
      <alignment vertical="center"/>
    </xf>
    <xf numFmtId="0" fontId="4" fillId="0" borderId="16"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109" xfId="0" applyFont="1" applyFill="1" applyBorder="1" applyAlignment="1">
      <alignment horizontal="center" vertical="center"/>
    </xf>
    <xf numFmtId="172" fontId="25" fillId="37" borderId="29" xfId="20" applyBorder="1"/>
    <xf numFmtId="172" fontId="25" fillId="37" borderId="111" xfId="20" applyBorder="1"/>
    <xf numFmtId="172" fontId="25" fillId="37" borderId="101" xfId="20" applyBorder="1"/>
    <xf numFmtId="172" fontId="25" fillId="37" borderId="55" xfId="20" applyBorder="1"/>
    <xf numFmtId="0" fontId="4" fillId="3" borderId="63" xfId="0" applyFont="1" applyFill="1" applyBorder="1" applyAlignment="1">
      <alignment horizontal="center" vertical="center"/>
    </xf>
    <xf numFmtId="0" fontId="4" fillId="3" borderId="0" xfId="0" applyFont="1" applyFill="1" applyBorder="1" applyAlignment="1">
      <alignment vertical="center"/>
    </xf>
    <xf numFmtId="0" fontId="4" fillId="0" borderId="69" xfId="0" applyFont="1" applyFill="1" applyBorder="1" applyAlignment="1">
      <alignment horizontal="center" vertical="center"/>
    </xf>
    <xf numFmtId="0" fontId="4" fillId="3" borderId="97" xfId="0" applyFont="1" applyFill="1" applyBorder="1" applyAlignment="1">
      <alignment vertical="center"/>
    </xf>
    <xf numFmtId="0" fontId="14" fillId="3" borderId="112" xfId="0" applyFont="1" applyFill="1" applyBorder="1" applyAlignment="1">
      <alignment horizontal="left"/>
    </xf>
    <xf numFmtId="0" fontId="14" fillId="3" borderId="113" xfId="0" applyFont="1" applyFill="1" applyBorder="1" applyAlignment="1">
      <alignment horizontal="left"/>
    </xf>
    <xf numFmtId="0" fontId="4" fillId="0" borderId="0" xfId="0" applyFont="1"/>
    <xf numFmtId="0" fontId="4" fillId="0" borderId="0" xfId="0" applyFont="1" applyFill="1"/>
    <xf numFmtId="0" fontId="4" fillId="0" borderId="99" xfId="0" applyFont="1" applyFill="1" applyBorder="1" applyAlignment="1">
      <alignment horizontal="center" vertical="center" wrapText="1"/>
    </xf>
    <xf numFmtId="0" fontId="104" fillId="0" borderId="86" xfId="0" applyFont="1" applyFill="1" applyBorder="1" applyAlignment="1">
      <alignment horizontal="right" vertical="center"/>
    </xf>
    <xf numFmtId="0" fontId="4" fillId="0" borderId="114" xfId="0" applyFont="1" applyFill="1" applyBorder="1" applyAlignment="1">
      <alignment horizontal="center" vertical="center" wrapText="1"/>
    </xf>
    <xf numFmtId="0" fontId="6" fillId="3" borderId="115" xfId="0" applyFont="1" applyFill="1" applyBorder="1" applyAlignment="1">
      <alignment vertical="center"/>
    </xf>
    <xf numFmtId="0" fontId="4" fillId="3" borderId="21" xfId="0" applyFont="1" applyFill="1" applyBorder="1" applyAlignment="1">
      <alignment vertical="center"/>
    </xf>
    <xf numFmtId="0" fontId="4" fillId="0" borderId="116" xfId="0" applyFont="1" applyFill="1" applyBorder="1" applyAlignment="1">
      <alignment horizontal="center" vertical="center"/>
    </xf>
    <xf numFmtId="0" fontId="6" fillId="0" borderId="23" xfId="0" applyFont="1" applyFill="1" applyBorder="1" applyAlignment="1">
      <alignment vertical="center"/>
    </xf>
    <xf numFmtId="172" fontId="25" fillId="37" borderId="25" xfId="20" applyBorder="1"/>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6" xfId="0" applyBorder="1"/>
    <xf numFmtId="0" fontId="0" fillId="0" borderId="22" xfId="0" applyBorder="1"/>
    <xf numFmtId="0" fontId="6" fillId="36" borderId="117" xfId="0" applyFont="1" applyFill="1" applyBorder="1" applyAlignment="1">
      <alignment vertical="center" wrapText="1"/>
    </xf>
    <xf numFmtId="196" fontId="0" fillId="0" borderId="20" xfId="0" applyNumberFormat="1" applyFill="1" applyBorder="1" applyAlignment="1">
      <alignment wrapText="1"/>
    </xf>
    <xf numFmtId="0" fontId="7" fillId="0" borderId="0" xfId="0" applyFont="1" applyFill="1" applyAlignment="1">
      <alignment wrapText="1"/>
    </xf>
    <xf numFmtId="0" fontId="6" fillId="36" borderId="17" xfId="0" applyFont="1" applyFill="1" applyBorder="1" applyAlignment="1">
      <alignment horizontal="center" vertical="center" wrapText="1"/>
    </xf>
    <xf numFmtId="0" fontId="6" fillId="36" borderId="18" xfId="0" applyFont="1" applyFill="1" applyBorder="1" applyAlignment="1">
      <alignment horizontal="center" vertical="center" wrapText="1"/>
    </xf>
    <xf numFmtId="0" fontId="6" fillId="36" borderId="116" xfId="0" applyFont="1" applyFill="1" applyBorder="1" applyAlignment="1">
      <alignment horizontal="left" vertical="center" wrapText="1"/>
    </xf>
    <xf numFmtId="0" fontId="6" fillId="36" borderId="99" xfId="0" applyFont="1" applyFill="1" applyBorder="1" applyAlignment="1">
      <alignment horizontal="left" vertical="center" wrapText="1"/>
    </xf>
    <xf numFmtId="0" fontId="6" fillId="36" borderId="114" xfId="0" applyFont="1" applyFill="1" applyBorder="1" applyAlignment="1">
      <alignment horizontal="left" vertical="center" wrapText="1"/>
    </xf>
    <xf numFmtId="0" fontId="4" fillId="0" borderId="116" xfId="0" applyFont="1" applyFill="1" applyBorder="1" applyAlignment="1">
      <alignment horizontal="right" vertical="center" wrapText="1"/>
    </xf>
    <xf numFmtId="0" fontId="4" fillId="0" borderId="99" xfId="0" applyFont="1" applyFill="1" applyBorder="1" applyAlignment="1">
      <alignment horizontal="left" vertical="center" wrapText="1"/>
    </xf>
    <xf numFmtId="0" fontId="107" fillId="0" borderId="116" xfId="0" applyFont="1" applyFill="1" applyBorder="1" applyAlignment="1">
      <alignment horizontal="right" vertical="center" wrapText="1"/>
    </xf>
    <xf numFmtId="0" fontId="107" fillId="0" borderId="99" xfId="0" applyFont="1" applyFill="1" applyBorder="1" applyAlignment="1">
      <alignment horizontal="left" vertical="center" wrapText="1"/>
    </xf>
    <xf numFmtId="0" fontId="6" fillId="0" borderId="116"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7" fillId="0" borderId="0" xfId="0" applyFont="1" applyFill="1" applyAlignment="1">
      <alignment horizontal="left" vertical="center"/>
    </xf>
    <xf numFmtId="49" fontId="108" fillId="0" borderId="22" xfId="5" applyNumberFormat="1" applyFont="1" applyFill="1" applyBorder="1" applyAlignment="1" applyProtection="1">
      <alignment horizontal="left" vertical="center"/>
      <protection locked="0"/>
    </xf>
    <xf numFmtId="0" fontId="109" fillId="0" borderId="23" xfId="9" applyFont="1" applyFill="1" applyBorder="1" applyAlignment="1" applyProtection="1">
      <alignment horizontal="left" vertical="center" wrapText="1"/>
      <protection locked="0"/>
    </xf>
    <xf numFmtId="0" fontId="19" fillId="0" borderId="116" xfId="0" applyFont="1" applyBorder="1" applyAlignment="1">
      <alignment horizontal="center" vertical="center" wrapText="1"/>
    </xf>
    <xf numFmtId="3" fontId="20" fillId="36" borderId="99" xfId="0" applyNumberFormat="1" applyFont="1" applyFill="1" applyBorder="1" applyAlignment="1">
      <alignment vertical="center" wrapText="1"/>
    </xf>
    <xf numFmtId="3" fontId="20" fillId="36" borderId="114" xfId="0" applyNumberFormat="1" applyFont="1" applyFill="1" applyBorder="1" applyAlignment="1">
      <alignment vertical="center" wrapText="1"/>
    </xf>
    <xf numFmtId="14" fontId="7" fillId="3" borderId="99" xfId="8" quotePrefix="1" applyNumberFormat="1" applyFont="1" applyFill="1" applyBorder="1" applyAlignment="1" applyProtection="1">
      <alignment horizontal="left" vertical="center" wrapText="1" indent="2"/>
      <protection locked="0"/>
    </xf>
    <xf numFmtId="14" fontId="7" fillId="3" borderId="99" xfId="8" quotePrefix="1" applyNumberFormat="1" applyFont="1" applyFill="1" applyBorder="1" applyAlignment="1" applyProtection="1">
      <alignment horizontal="left" vertical="center" wrapText="1" indent="3"/>
      <protection locked="0"/>
    </xf>
    <xf numFmtId="0" fontId="11" fillId="0" borderId="99" xfId="17" applyFill="1" applyBorder="1" applyAlignment="1" applyProtection="1"/>
    <xf numFmtId="49" fontId="107" fillId="0" borderId="116" xfId="0" applyNumberFormat="1" applyFont="1" applyFill="1" applyBorder="1" applyAlignment="1">
      <alignment horizontal="right" vertical="center" wrapText="1"/>
    </xf>
    <xf numFmtId="0" fontId="7" fillId="3" borderId="99" xfId="20960" applyFont="1" applyFill="1" applyBorder="1" applyAlignment="1" applyProtection="1"/>
    <xf numFmtId="0" fontId="101" fillId="0" borderId="99" xfId="20960" applyFont="1" applyFill="1" applyBorder="1" applyAlignment="1" applyProtection="1">
      <alignment horizontal="center" vertical="center"/>
    </xf>
    <xf numFmtId="0" fontId="4" fillId="0" borderId="99" xfId="0" applyFont="1" applyBorder="1"/>
    <xf numFmtId="0" fontId="11" fillId="0" borderId="99" xfId="17" applyFill="1" applyBorder="1" applyAlignment="1" applyProtection="1">
      <alignment horizontal="left" vertical="center" wrapText="1"/>
    </xf>
    <xf numFmtId="49" fontId="107" fillId="0" borderId="99" xfId="0" applyNumberFormat="1" applyFont="1" applyFill="1" applyBorder="1" applyAlignment="1">
      <alignment horizontal="right" vertical="center" wrapText="1"/>
    </xf>
    <xf numFmtId="0" fontId="11" fillId="0" borderId="99" xfId="17" applyFill="1" applyBorder="1" applyAlignment="1" applyProtection="1">
      <alignment horizontal="left" vertical="center"/>
    </xf>
    <xf numFmtId="0" fontId="4" fillId="0" borderId="99" xfId="0" applyFont="1" applyFill="1" applyBorder="1"/>
    <xf numFmtId="0" fontId="19" fillId="0" borderId="116" xfId="0" applyFont="1" applyFill="1" applyBorder="1" applyAlignment="1">
      <alignment horizontal="center" vertical="center" wrapText="1"/>
    </xf>
    <xf numFmtId="0" fontId="110" fillId="78" borderId="100" xfId="21412" applyFont="1" applyFill="1" applyBorder="1" applyAlignment="1" applyProtection="1">
      <alignment vertical="center" wrapText="1"/>
      <protection locked="0"/>
    </xf>
    <xf numFmtId="0" fontId="111" fillId="70" borderId="94" xfId="21412" applyFont="1" applyFill="1" applyBorder="1" applyAlignment="1" applyProtection="1">
      <alignment horizontal="center" vertical="center"/>
      <protection locked="0"/>
    </xf>
    <xf numFmtId="0" fontId="110"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vertical="center"/>
      <protection locked="0"/>
    </xf>
    <xf numFmtId="0" fontId="112" fillId="70" borderId="94" xfId="21412" applyFont="1" applyFill="1" applyBorder="1" applyAlignment="1" applyProtection="1">
      <alignment horizontal="center" vertical="center"/>
      <protection locked="0"/>
    </xf>
    <xf numFmtId="0" fontId="112" fillId="3" borderId="94" xfId="21412" applyFont="1" applyFill="1" applyBorder="1" applyAlignment="1" applyProtection="1">
      <alignment horizontal="center" vertical="center"/>
      <protection locked="0"/>
    </xf>
    <xf numFmtId="0" fontId="112" fillId="0" borderId="94" xfId="21412" applyFont="1" applyFill="1" applyBorder="1" applyAlignment="1" applyProtection="1">
      <alignment horizontal="center" vertical="center"/>
      <protection locked="0"/>
    </xf>
    <xf numFmtId="0" fontId="113"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horizontal="center" vertical="center"/>
      <protection locked="0"/>
    </xf>
    <xf numFmtId="0" fontId="61" fillId="78" borderId="100" xfId="21412" applyFont="1" applyFill="1" applyBorder="1" applyAlignment="1" applyProtection="1">
      <alignment vertical="center"/>
      <protection locked="0"/>
    </xf>
    <xf numFmtId="0" fontId="112" fillId="70" borderId="99" xfId="21412" applyFont="1" applyFill="1" applyBorder="1" applyAlignment="1" applyProtection="1">
      <alignment horizontal="center" vertical="center"/>
      <protection locked="0"/>
    </xf>
    <xf numFmtId="0" fontId="35" fillId="70" borderId="99" xfId="21412" applyFont="1" applyFill="1" applyBorder="1" applyAlignment="1" applyProtection="1">
      <alignment horizontal="center" vertical="center"/>
      <protection locked="0"/>
    </xf>
    <xf numFmtId="0" fontId="61" fillId="78" borderId="98" xfId="21412" applyFont="1" applyFill="1" applyBorder="1" applyAlignment="1" applyProtection="1">
      <alignment vertical="center"/>
      <protection locked="0"/>
    </xf>
    <xf numFmtId="0" fontId="111" fillId="0" borderId="98" xfId="21412" applyFont="1" applyFill="1" applyBorder="1" applyAlignment="1" applyProtection="1">
      <alignment horizontal="left" vertical="center" wrapText="1"/>
      <protection locked="0"/>
    </xf>
    <xf numFmtId="167" fontId="111" fillId="0" borderId="99" xfId="948" applyNumberFormat="1" applyFont="1" applyFill="1" applyBorder="1" applyAlignment="1" applyProtection="1">
      <alignment horizontal="right" vertical="center"/>
      <protection locked="0"/>
    </xf>
    <xf numFmtId="0" fontId="110" fillId="79" borderId="98" xfId="21412" applyFont="1" applyFill="1" applyBorder="1" applyAlignment="1" applyProtection="1">
      <alignment vertical="top" wrapText="1"/>
      <protection locked="0"/>
    </xf>
    <xf numFmtId="167" fontId="111" fillId="79" borderId="99" xfId="948" applyNumberFormat="1" applyFont="1" applyFill="1" applyBorder="1" applyAlignment="1" applyProtection="1">
      <alignment horizontal="right" vertical="center"/>
    </xf>
    <xf numFmtId="167" fontId="61" fillId="78" borderId="98" xfId="948" applyNumberFormat="1" applyFont="1" applyFill="1" applyBorder="1" applyAlignment="1" applyProtection="1">
      <alignment horizontal="right" vertical="center"/>
      <protection locked="0"/>
    </xf>
    <xf numFmtId="0" fontId="111" fillId="70" borderId="98" xfId="21412" applyFont="1" applyFill="1" applyBorder="1" applyAlignment="1" applyProtection="1">
      <alignment vertical="center" wrapText="1"/>
      <protection locked="0"/>
    </xf>
    <xf numFmtId="0" fontId="111" fillId="70" borderId="98" xfId="21412" applyFont="1" applyFill="1" applyBorder="1" applyAlignment="1" applyProtection="1">
      <alignment horizontal="left" vertical="center" wrapText="1"/>
      <protection locked="0"/>
    </xf>
    <xf numFmtId="0" fontId="111" fillId="0" borderId="98" xfId="21412" applyFont="1" applyFill="1" applyBorder="1" applyAlignment="1" applyProtection="1">
      <alignment vertical="center" wrapText="1"/>
      <protection locked="0"/>
    </xf>
    <xf numFmtId="0" fontId="111" fillId="3" borderId="98" xfId="21412" applyFont="1" applyFill="1" applyBorder="1" applyAlignment="1" applyProtection="1">
      <alignment horizontal="left" vertical="center" wrapText="1"/>
      <protection locked="0"/>
    </xf>
    <xf numFmtId="0" fontId="110" fillId="79" borderId="98" xfId="21412" applyFont="1" applyFill="1" applyBorder="1" applyAlignment="1" applyProtection="1">
      <alignment vertical="center" wrapText="1"/>
      <protection locked="0"/>
    </xf>
    <xf numFmtId="167" fontId="110" fillId="78" borderId="98" xfId="948" applyNumberFormat="1" applyFont="1" applyFill="1" applyBorder="1" applyAlignment="1" applyProtection="1">
      <alignment horizontal="right" vertical="center"/>
      <protection locked="0"/>
    </xf>
    <xf numFmtId="167" fontId="111" fillId="3" borderId="99" xfId="948" applyNumberFormat="1" applyFont="1" applyFill="1" applyBorder="1" applyAlignment="1" applyProtection="1">
      <alignment horizontal="right" vertical="center"/>
      <protection locked="0"/>
    </xf>
    <xf numFmtId="10" fontId="107" fillId="0" borderId="99" xfId="20961" applyNumberFormat="1" applyFont="1" applyFill="1" applyBorder="1" applyAlignment="1">
      <alignment horizontal="left" vertical="center" wrapText="1"/>
    </xf>
    <xf numFmtId="10" fontId="6" fillId="36" borderId="99" xfId="0" applyNumberFormat="1" applyFont="1" applyFill="1" applyBorder="1" applyAlignment="1">
      <alignment horizontal="center" vertical="center" wrapText="1"/>
    </xf>
    <xf numFmtId="10" fontId="109" fillId="0" borderId="23" xfId="20961" applyNumberFormat="1" applyFont="1" applyFill="1" applyBorder="1" applyAlignment="1" applyProtection="1">
      <alignment horizontal="left" vertical="center"/>
    </xf>
    <xf numFmtId="43" fontId="7" fillId="0" borderId="0" xfId="7" applyFont="1"/>
    <xf numFmtId="0" fontId="105"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6" xfId="0" applyFont="1" applyBorder="1" applyAlignment="1">
      <alignment horizontal="right" vertical="center" wrapText="1"/>
    </xf>
    <xf numFmtId="0" fontId="9" fillId="0" borderId="116" xfId="0" applyFont="1" applyFill="1" applyBorder="1" applyAlignment="1">
      <alignment horizontal="right" vertical="center" wrapText="1"/>
    </xf>
    <xf numFmtId="0" fontId="7" fillId="0" borderId="99" xfId="0" applyFont="1" applyFill="1" applyBorder="1" applyAlignment="1">
      <alignment vertical="center" wrapText="1"/>
    </xf>
    <xf numFmtId="0" fontId="4" fillId="0" borderId="99" xfId="0" applyFont="1" applyBorder="1" applyAlignment="1">
      <alignment vertical="center" wrapText="1"/>
    </xf>
    <xf numFmtId="0" fontId="4" fillId="0" borderId="99" xfId="0" applyFont="1" applyFill="1" applyBorder="1" applyAlignment="1">
      <alignment horizontal="left" vertical="center" wrapText="1" indent="2"/>
    </xf>
    <xf numFmtId="0" fontId="4" fillId="0" borderId="99" xfId="0" applyFont="1" applyFill="1" applyBorder="1" applyAlignment="1">
      <alignment vertical="center" wrapText="1"/>
    </xf>
    <xf numFmtId="3" fontId="20" fillId="36" borderId="100" xfId="0" applyNumberFormat="1" applyFont="1" applyFill="1" applyBorder="1" applyAlignment="1">
      <alignment vertical="center" wrapText="1"/>
    </xf>
    <xf numFmtId="3" fontId="20" fillId="36" borderId="21" xfId="0" applyNumberFormat="1" applyFont="1" applyFill="1" applyBorder="1" applyAlignment="1">
      <alignment vertical="center" wrapText="1"/>
    </xf>
    <xf numFmtId="3" fontId="20" fillId="36" borderId="25" xfId="0" applyNumberFormat="1" applyFont="1" applyFill="1" applyBorder="1" applyAlignment="1">
      <alignment vertical="center" wrapText="1"/>
    </xf>
    <xf numFmtId="3" fontId="20" fillId="36"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4" xfId="0" applyFont="1" applyBorder="1" applyAlignment="1"/>
    <xf numFmtId="0" fontId="4" fillId="0" borderId="24" xfId="0" applyFont="1" applyBorder="1" applyAlignment="1"/>
    <xf numFmtId="0" fontId="9" fillId="0" borderId="114" xfId="0" applyFont="1" applyBorder="1" applyAlignment="1"/>
    <xf numFmtId="0" fontId="9" fillId="0" borderId="114" xfId="0" applyFont="1" applyBorder="1" applyAlignment="1">
      <alignment wrapText="1"/>
    </xf>
    <xf numFmtId="0" fontId="10" fillId="0" borderId="18" xfId="0" applyFont="1" applyBorder="1" applyAlignment="1">
      <alignment horizontal="center"/>
    </xf>
    <xf numFmtId="0" fontId="10" fillId="0" borderId="114"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6"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6" fillId="0" borderId="99" xfId="0" applyFont="1" applyFill="1" applyBorder="1" applyAlignment="1">
      <alignment horizontal="left" vertical="center" wrapText="1"/>
    </xf>
    <xf numFmtId="0" fontId="7" fillId="0" borderId="99" xfId="0" applyFont="1" applyBorder="1" applyAlignment="1">
      <alignment vertical="center" wrapText="1"/>
    </xf>
    <xf numFmtId="0" fontId="9" fillId="2" borderId="116" xfId="0" applyFont="1" applyFill="1" applyBorder="1" applyAlignment="1">
      <alignment horizontal="right" vertical="center"/>
    </xf>
    <xf numFmtId="0" fontId="9" fillId="2" borderId="99" xfId="0" applyFont="1" applyFill="1" applyBorder="1" applyAlignment="1">
      <alignment vertical="center"/>
    </xf>
    <xf numFmtId="196" fontId="9" fillId="2" borderId="99" xfId="0" applyNumberFormat="1" applyFont="1" applyFill="1" applyBorder="1" applyAlignment="1" applyProtection="1">
      <alignment vertical="center"/>
      <protection locked="0"/>
    </xf>
    <xf numFmtId="0" fontId="15" fillId="0" borderId="116"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4" xfId="0" applyFont="1" applyFill="1" applyBorder="1"/>
    <xf numFmtId="0" fontId="4" fillId="3" borderId="119" xfId="0" applyFont="1" applyFill="1" applyBorder="1" applyAlignment="1">
      <alignment wrapText="1"/>
    </xf>
    <xf numFmtId="0" fontId="4" fillId="3" borderId="120" xfId="0" applyFont="1" applyFill="1" applyBorder="1"/>
    <xf numFmtId="0" fontId="6" fillId="3" borderId="11" xfId="0" applyFont="1" applyFill="1" applyBorder="1" applyAlignment="1">
      <alignment horizontal="center" wrapText="1"/>
    </xf>
    <xf numFmtId="0" fontId="4" fillId="0" borderId="99" xfId="0" applyFont="1" applyFill="1" applyBorder="1" applyAlignment="1">
      <alignment horizontal="center"/>
    </xf>
    <xf numFmtId="0" fontId="4" fillId="0" borderId="99" xfId="0" applyFont="1" applyBorder="1" applyAlignment="1">
      <alignment horizontal="center"/>
    </xf>
    <xf numFmtId="0" fontId="4" fillId="3" borderId="63"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2" xfId="0" applyFont="1" applyFill="1" applyBorder="1" applyAlignment="1">
      <alignment horizontal="center" vertical="center" wrapText="1"/>
    </xf>
    <xf numFmtId="0" fontId="4" fillId="0" borderId="116" xfId="0" applyFont="1" applyBorder="1"/>
    <xf numFmtId="0" fontId="4" fillId="0" borderId="99" xfId="0" applyFont="1" applyBorder="1" applyAlignment="1">
      <alignment wrapText="1"/>
    </xf>
    <xf numFmtId="167" fontId="4" fillId="0" borderId="99" xfId="7" applyNumberFormat="1" applyFont="1" applyBorder="1"/>
    <xf numFmtId="167" fontId="4" fillId="0" borderId="114" xfId="7" applyNumberFormat="1" applyFont="1" applyBorder="1"/>
    <xf numFmtId="0" fontId="14" fillId="0" borderId="99" xfId="0" applyFont="1" applyBorder="1" applyAlignment="1">
      <alignment horizontal="left" wrapText="1" indent="2"/>
    </xf>
    <xf numFmtId="172" fontId="25" fillId="37" borderId="99" xfId="20" applyBorder="1"/>
    <xf numFmtId="167" fontId="4" fillId="0" borderId="99" xfId="7" applyNumberFormat="1" applyFont="1" applyBorder="1" applyAlignment="1">
      <alignment vertical="center"/>
    </xf>
    <xf numFmtId="0" fontId="6" fillId="0" borderId="116" xfId="0" applyFont="1" applyBorder="1"/>
    <xf numFmtId="0" fontId="6" fillId="0" borderId="99" xfId="0" applyFont="1" applyBorder="1" applyAlignment="1">
      <alignment wrapText="1"/>
    </xf>
    <xf numFmtId="167" fontId="6" fillId="0" borderId="114" xfId="7" applyNumberFormat="1" applyFont="1" applyBorder="1"/>
    <xf numFmtId="0" fontId="3" fillId="3" borderId="63"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2" xfId="7" applyNumberFormat="1" applyFont="1" applyFill="1" applyBorder="1"/>
    <xf numFmtId="167" fontId="4" fillId="0" borderId="99" xfId="7" applyNumberFormat="1" applyFont="1" applyFill="1" applyBorder="1" applyAlignment="1">
      <alignment vertical="center"/>
    </xf>
    <xf numFmtId="0" fontId="14" fillId="0" borderId="99"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2" xfId="0" applyFont="1" applyFill="1" applyBorder="1"/>
    <xf numFmtId="0" fontId="6" fillId="0" borderId="22" xfId="0" applyFont="1" applyBorder="1"/>
    <xf numFmtId="0" fontId="6" fillId="0" borderId="23" xfId="0" applyFont="1" applyBorder="1" applyAlignment="1">
      <alignment wrapText="1"/>
    </xf>
    <xf numFmtId="172" fontId="25" fillId="37" borderId="117" xfId="20" applyBorder="1"/>
    <xf numFmtId="10" fontId="6" fillId="0" borderId="24" xfId="20961" applyNumberFormat="1" applyFont="1" applyBorder="1"/>
    <xf numFmtId="0" fontId="9" fillId="2" borderId="107" xfId="0" applyFont="1" applyFill="1" applyBorder="1" applyAlignment="1">
      <alignment horizontal="right" vertical="center"/>
    </xf>
    <xf numFmtId="0" fontId="9" fillId="2" borderId="94" xfId="0" applyFont="1" applyFill="1" applyBorder="1" applyAlignment="1">
      <alignment vertical="center"/>
    </xf>
    <xf numFmtId="0" fontId="9" fillId="0" borderId="99" xfId="0" applyFont="1" applyFill="1" applyBorder="1" applyAlignment="1">
      <alignment horizontal="left" vertical="center" wrapText="1"/>
    </xf>
    <xf numFmtId="0" fontId="6" fillId="3" borderId="0" xfId="0" applyFont="1" applyFill="1" applyBorder="1" applyAlignment="1">
      <alignment horizontal="center"/>
    </xf>
    <xf numFmtId="0" fontId="104" fillId="0" borderId="86" xfId="0" applyFont="1" applyFill="1" applyBorder="1" applyAlignment="1">
      <alignment horizontal="left" vertical="center"/>
    </xf>
    <xf numFmtId="0" fontId="104" fillId="0" borderId="84" xfId="0" applyFont="1" applyFill="1" applyBorder="1" applyAlignment="1">
      <alignment vertical="center" wrapText="1"/>
    </xf>
    <xf numFmtId="0" fontId="104" fillId="0" borderId="84" xfId="0" applyFont="1" applyFill="1" applyBorder="1" applyAlignment="1">
      <alignment horizontal="left" vertical="center" wrapText="1"/>
    </xf>
    <xf numFmtId="0" fontId="114" fillId="0" borderId="0" xfId="11" applyFont="1" applyFill="1" applyBorder="1" applyProtection="1"/>
    <xf numFmtId="0" fontId="115" fillId="0" borderId="0" xfId="0" applyFont="1"/>
    <xf numFmtId="0" fontId="114" fillId="0" borderId="0" xfId="11" applyFont="1" applyFill="1" applyBorder="1" applyAlignment="1" applyProtection="1"/>
    <xf numFmtId="0" fontId="116" fillId="0" borderId="0" xfId="11" applyFont="1" applyFill="1" applyBorder="1" applyAlignment="1" applyProtection="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Fill="1"/>
    <xf numFmtId="0" fontId="115" fillId="0" borderId="0" xfId="0" applyFont="1" applyBorder="1"/>
    <xf numFmtId="0" fontId="115" fillId="0" borderId="0" xfId="0" applyFont="1" applyBorder="1" applyAlignment="1">
      <alignment horizontal="left"/>
    </xf>
    <xf numFmtId="0" fontId="117" fillId="0" borderId="130" xfId="0" applyNumberFormat="1" applyFont="1" applyFill="1" applyBorder="1" applyAlignment="1">
      <alignment horizontal="left" vertical="center" wrapText="1"/>
    </xf>
    <xf numFmtId="0" fontId="123" fillId="0" borderId="0" xfId="0" applyFont="1"/>
    <xf numFmtId="49" fontId="104" fillId="0" borderId="99" xfId="0" applyNumberFormat="1" applyFont="1" applyFill="1" applyBorder="1" applyAlignment="1">
      <alignment horizontal="right" vertical="center"/>
    </xf>
    <xf numFmtId="0" fontId="124" fillId="0" borderId="0" xfId="0" applyFont="1" applyFill="1" applyBorder="1" applyAlignment="1"/>
    <xf numFmtId="0" fontId="115" fillId="0" borderId="0" xfId="0" applyFont="1" applyBorder="1" applyAlignment="1">
      <alignment horizontal="left" indent="1"/>
    </xf>
    <xf numFmtId="0" fontId="115" fillId="0" borderId="0" xfId="0" applyFont="1" applyBorder="1" applyAlignment="1">
      <alignment horizontal="left" indent="2"/>
    </xf>
    <xf numFmtId="49" fontId="115" fillId="0" borderId="0" xfId="0" applyNumberFormat="1" applyFont="1" applyBorder="1" applyAlignment="1">
      <alignment horizontal="left" indent="3"/>
    </xf>
    <xf numFmtId="49" fontId="115" fillId="0" borderId="0" xfId="0" applyNumberFormat="1" applyFont="1" applyBorder="1" applyAlignment="1">
      <alignment horizontal="left" indent="1"/>
    </xf>
    <xf numFmtId="49" fontId="115" fillId="0" borderId="0" xfId="0" applyNumberFormat="1" applyFont="1" applyBorder="1" applyAlignment="1">
      <alignment horizontal="left" wrapText="1" indent="2"/>
    </xf>
    <xf numFmtId="49" fontId="115" fillId="0" borderId="0" xfId="0" applyNumberFormat="1" applyFont="1" applyFill="1" applyBorder="1" applyAlignment="1">
      <alignment horizontal="left" wrapText="1" indent="3"/>
    </xf>
    <xf numFmtId="0" fontId="115" fillId="0" borderId="0" xfId="0" applyNumberFormat="1" applyFont="1" applyFill="1" applyBorder="1" applyAlignment="1">
      <alignment horizontal="left" wrapText="1" indent="1"/>
    </xf>
    <xf numFmtId="0" fontId="115" fillId="0" borderId="0" xfId="0" applyFont="1" applyFill="1" applyAlignment="1">
      <alignment horizontal="left" vertical="top" wrapText="1"/>
    </xf>
    <xf numFmtId="0" fontId="9" fillId="0" borderId="99" xfId="0" applyFont="1" applyFill="1" applyBorder="1" applyAlignment="1" applyProtection="1">
      <alignment horizontal="center" vertical="center" wrapText="1"/>
    </xf>
    <xf numFmtId="0" fontId="3" fillId="0" borderId="99" xfId="0" applyFont="1" applyBorder="1" applyAlignment="1">
      <alignment horizontal="center" vertical="center"/>
    </xf>
    <xf numFmtId="0" fontId="128" fillId="3" borderId="99" xfId="21414" applyFont="1" applyFill="1" applyBorder="1" applyAlignment="1">
      <alignment horizontal="left" vertical="center" wrapText="1"/>
    </xf>
    <xf numFmtId="0" fontId="129" fillId="0" borderId="99" xfId="21414" applyFont="1" applyFill="1" applyBorder="1" applyAlignment="1">
      <alignment horizontal="left" vertical="center" wrapText="1" indent="1"/>
    </xf>
    <xf numFmtId="0" fontId="130" fillId="3" borderId="99" xfId="21414" applyFont="1" applyFill="1" applyBorder="1" applyAlignment="1">
      <alignment horizontal="left" vertical="center" wrapText="1"/>
    </xf>
    <xf numFmtId="0" fontId="129" fillId="3" borderId="99" xfId="21414" applyFont="1" applyFill="1" applyBorder="1" applyAlignment="1">
      <alignment horizontal="left" vertical="center" wrapText="1" indent="1"/>
    </xf>
    <xf numFmtId="0" fontId="128" fillId="0" borderId="137" xfId="0" applyFont="1" applyFill="1" applyBorder="1" applyAlignment="1">
      <alignment horizontal="left" vertical="center" wrapText="1"/>
    </xf>
    <xf numFmtId="0" fontId="130" fillId="0" borderId="137" xfId="0" applyFont="1" applyFill="1" applyBorder="1" applyAlignment="1">
      <alignment horizontal="left" vertical="center" wrapText="1"/>
    </xf>
    <xf numFmtId="0" fontId="131" fillId="3" borderId="137" xfId="0" applyFont="1" applyFill="1" applyBorder="1" applyAlignment="1">
      <alignment horizontal="left" vertical="center" wrapText="1" indent="1"/>
    </xf>
    <xf numFmtId="0" fontId="130" fillId="3" borderId="137" xfId="0" applyFont="1" applyFill="1" applyBorder="1" applyAlignment="1">
      <alignment horizontal="left" vertical="center" wrapText="1"/>
    </xf>
    <xf numFmtId="0" fontId="130" fillId="3" borderId="138" xfId="0" applyFont="1" applyFill="1" applyBorder="1" applyAlignment="1">
      <alignment horizontal="left" vertical="center" wrapText="1"/>
    </xf>
    <xf numFmtId="0" fontId="131" fillId="0" borderId="137" xfId="0" applyFont="1" applyFill="1" applyBorder="1" applyAlignment="1">
      <alignment horizontal="left" vertical="center" wrapText="1" indent="1"/>
    </xf>
    <xf numFmtId="0" fontId="131" fillId="0" borderId="99" xfId="21414" applyFont="1" applyFill="1" applyBorder="1" applyAlignment="1">
      <alignment horizontal="left" vertical="center" wrapText="1" indent="1"/>
    </xf>
    <xf numFmtId="0" fontId="130" fillId="0" borderId="99" xfId="21414" applyFont="1" applyFill="1" applyBorder="1" applyAlignment="1">
      <alignment horizontal="left" vertical="center" wrapText="1"/>
    </xf>
    <xf numFmtId="0" fontId="132" fillId="0" borderId="99" xfId="21414" applyFont="1" applyFill="1" applyBorder="1" applyAlignment="1">
      <alignment horizontal="center" vertical="center" wrapText="1"/>
    </xf>
    <xf numFmtId="0" fontId="130" fillId="3" borderId="139" xfId="0" applyFont="1" applyFill="1" applyBorder="1" applyAlignment="1">
      <alignment horizontal="left" vertical="center" wrapText="1"/>
    </xf>
    <xf numFmtId="0" fontId="129" fillId="3" borderId="140" xfId="21414" applyFont="1" applyFill="1" applyBorder="1" applyAlignment="1">
      <alignment horizontal="left" vertical="center" wrapText="1" indent="1"/>
    </xf>
    <xf numFmtId="0" fontId="129" fillId="3" borderId="137" xfId="0" applyFont="1" applyFill="1" applyBorder="1" applyAlignment="1">
      <alignment horizontal="left" vertical="center" wrapText="1" indent="1"/>
    </xf>
    <xf numFmtId="0" fontId="129" fillId="0" borderId="140" xfId="21414" applyFont="1" applyFill="1" applyBorder="1" applyAlignment="1">
      <alignment horizontal="left" vertical="center" wrapText="1" indent="1"/>
    </xf>
    <xf numFmtId="0" fontId="130" fillId="0" borderId="137" xfId="0" applyFont="1" applyBorder="1" applyAlignment="1">
      <alignment horizontal="left" vertical="center" wrapText="1"/>
    </xf>
    <xf numFmtId="0" fontId="129" fillId="0" borderId="137" xfId="0" applyFont="1" applyBorder="1" applyAlignment="1">
      <alignment horizontal="left" vertical="center" wrapText="1" indent="1"/>
    </xf>
    <xf numFmtId="0" fontId="129" fillId="0" borderId="138" xfId="0" applyFont="1" applyBorder="1" applyAlignment="1">
      <alignment horizontal="left" vertical="center" wrapText="1" indent="1"/>
    </xf>
    <xf numFmtId="0" fontId="130" fillId="0" borderId="140" xfId="21414" applyFont="1" applyFill="1" applyBorder="1" applyAlignment="1">
      <alignment horizontal="left" vertical="center" wrapText="1"/>
    </xf>
    <xf numFmtId="0" fontId="130" fillId="3" borderId="140" xfId="21414" applyFont="1" applyFill="1" applyBorder="1" applyAlignment="1">
      <alignment horizontal="left" vertical="center" wrapText="1"/>
    </xf>
    <xf numFmtId="0" fontId="132" fillId="0" borderId="140" xfId="21414" applyFont="1" applyFill="1" applyBorder="1" applyAlignment="1">
      <alignment horizontal="center" vertical="center" wrapText="1"/>
    </xf>
    <xf numFmtId="0" fontId="130" fillId="0" borderId="140" xfId="21414" applyFont="1" applyBorder="1" applyAlignment="1">
      <alignment horizontal="left" vertical="center" wrapText="1"/>
    </xf>
    <xf numFmtId="0" fontId="129" fillId="0" borderId="137" xfId="0" applyFont="1" applyFill="1" applyBorder="1" applyAlignment="1">
      <alignment horizontal="left" vertical="center" wrapText="1" indent="1"/>
    </xf>
    <xf numFmtId="0" fontId="133" fillId="0" borderId="140" xfId="0" applyFont="1" applyBorder="1" applyAlignment="1">
      <alignment horizontal="left"/>
    </xf>
    <xf numFmtId="0" fontId="130" fillId="0" borderId="140" xfId="0" applyFont="1" applyFill="1" applyBorder="1" applyAlignment="1">
      <alignment horizontal="left" vertical="center" wrapText="1"/>
    </xf>
    <xf numFmtId="0" fontId="0" fillId="0" borderId="0" xfId="0" applyAlignment="1">
      <alignment horizontal="left" vertical="center"/>
    </xf>
    <xf numFmtId="0" fontId="9" fillId="0" borderId="140" xfId="0" applyFont="1" applyFill="1" applyBorder="1" applyAlignment="1" applyProtection="1">
      <alignment horizontal="center" vertical="center" wrapText="1"/>
    </xf>
    <xf numFmtId="0" fontId="130" fillId="0" borderId="145" xfId="0" applyFont="1" applyFill="1" applyBorder="1" applyAlignment="1">
      <alignment horizontal="justify" vertical="center" wrapText="1"/>
    </xf>
    <xf numFmtId="0" fontId="129" fillId="0" borderId="139" xfId="0" applyFont="1" applyFill="1" applyBorder="1" applyAlignment="1">
      <alignment horizontal="left" vertical="center" wrapText="1" indent="1"/>
    </xf>
    <xf numFmtId="0" fontId="129" fillId="0" borderId="138" xfId="0" applyFont="1" applyFill="1" applyBorder="1" applyAlignment="1">
      <alignment horizontal="left" vertical="center" wrapText="1" indent="1"/>
    </xf>
    <xf numFmtId="0" fontId="130" fillId="0" borderId="137" xfId="0" applyFont="1" applyFill="1" applyBorder="1" applyAlignment="1">
      <alignment horizontal="justify" vertical="center" wrapText="1"/>
    </xf>
    <xf numFmtId="0" fontId="128" fillId="0" borderId="137" xfId="0" applyFont="1" applyFill="1" applyBorder="1" applyAlignment="1">
      <alignment horizontal="justify" vertical="center" wrapText="1"/>
    </xf>
    <xf numFmtId="0" fontId="130" fillId="3" borderId="137" xfId="0" applyFont="1" applyFill="1" applyBorder="1" applyAlignment="1">
      <alignment horizontal="justify" vertical="center" wrapText="1"/>
    </xf>
    <xf numFmtId="0" fontId="130" fillId="0" borderId="138" xfId="0" applyFont="1" applyFill="1" applyBorder="1" applyAlignment="1">
      <alignment horizontal="justify" vertical="center" wrapText="1"/>
    </xf>
    <xf numFmtId="0" fontId="130" fillId="0" borderId="139" xfId="0" applyFont="1" applyFill="1" applyBorder="1" applyAlignment="1">
      <alignment horizontal="justify" vertical="center" wrapText="1"/>
    </xf>
    <xf numFmtId="0" fontId="130" fillId="0" borderId="140" xfId="21414" applyFont="1" applyFill="1" applyBorder="1" applyAlignment="1">
      <alignment horizontal="justify" vertical="center" wrapText="1"/>
    </xf>
    <xf numFmtId="0" fontId="131" fillId="0" borderId="131" xfId="0" applyFont="1" applyFill="1" applyBorder="1" applyAlignment="1">
      <alignment horizontal="left" vertical="center" wrapText="1" indent="1"/>
    </xf>
    <xf numFmtId="0" fontId="128" fillId="0" borderId="137" xfId="0" applyFont="1" applyFill="1" applyBorder="1" applyAlignment="1">
      <alignment vertical="center" wrapText="1"/>
    </xf>
    <xf numFmtId="0" fontId="130" fillId="0" borderId="137" xfId="0" applyFont="1" applyFill="1" applyBorder="1" applyAlignment="1">
      <alignment vertical="center" wrapText="1"/>
    </xf>
    <xf numFmtId="0" fontId="130" fillId="0" borderId="140" xfId="21414" applyFont="1" applyFill="1" applyBorder="1" applyAlignment="1">
      <alignment vertical="center" wrapText="1"/>
    </xf>
    <xf numFmtId="0" fontId="9" fillId="0" borderId="114" xfId="0" applyFont="1" applyFill="1" applyBorder="1" applyAlignment="1" applyProtection="1">
      <alignment horizontal="center" vertical="center" wrapText="1"/>
    </xf>
    <xf numFmtId="0" fontId="0" fillId="0" borderId="140" xfId="0" applyBorder="1" applyAlignment="1">
      <alignment horizontal="center"/>
    </xf>
    <xf numFmtId="0" fontId="15" fillId="0" borderId="140" xfId="0" applyNumberFormat="1" applyFont="1" applyFill="1" applyBorder="1" applyAlignment="1">
      <alignment vertical="center" wrapText="1"/>
    </xf>
    <xf numFmtId="0" fontId="7" fillId="0" borderId="140" xfId="0" applyNumberFormat="1" applyFont="1" applyFill="1" applyBorder="1" applyAlignment="1">
      <alignment horizontal="left" vertical="center" wrapText="1" indent="1"/>
    </xf>
    <xf numFmtId="0" fontId="3" fillId="0" borderId="140" xfId="0" applyFont="1" applyBorder="1" applyAlignment="1">
      <alignment vertical="center"/>
    </xf>
    <xf numFmtId="0" fontId="134" fillId="0" borderId="140" xfId="0" applyFont="1" applyFill="1" applyBorder="1" applyAlignment="1" applyProtection="1">
      <alignment horizontal="left" vertical="center" indent="1"/>
      <protection locked="0"/>
    </xf>
    <xf numFmtId="0" fontId="135" fillId="0" borderId="140" xfId="0" applyFont="1" applyFill="1" applyBorder="1" applyAlignment="1" applyProtection="1">
      <alignment horizontal="left" vertical="center" indent="3"/>
      <protection locked="0"/>
    </xf>
    <xf numFmtId="0" fontId="136" fillId="0" borderId="140" xfId="0" applyFont="1" applyFill="1" applyBorder="1" applyAlignment="1" applyProtection="1">
      <alignment horizontal="left" vertical="center" indent="3"/>
      <protection locked="0"/>
    </xf>
    <xf numFmtId="0" fontId="3" fillId="0" borderId="140" xfId="0" applyFont="1" applyFill="1" applyBorder="1" applyAlignment="1">
      <alignment vertical="center"/>
    </xf>
    <xf numFmtId="0" fontId="3" fillId="0" borderId="140"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4" fillId="0" borderId="140" xfId="0" applyNumberFormat="1" applyFont="1" applyFill="1" applyBorder="1" applyAlignment="1">
      <alignment horizontal="right" vertical="center"/>
    </xf>
    <xf numFmtId="0" fontId="0" fillId="0" borderId="140" xfId="0" applyBorder="1" applyAlignment="1">
      <alignment horizontal="center" vertical="center"/>
    </xf>
    <xf numFmtId="43" fontId="4" fillId="0" borderId="140" xfId="7" applyFont="1" applyFill="1" applyBorder="1" applyAlignment="1">
      <alignment vertical="center" wrapText="1"/>
    </xf>
    <xf numFmtId="43" fontId="4" fillId="0" borderId="99" xfId="7" applyFont="1" applyBorder="1" applyAlignment="1">
      <alignment vertical="center"/>
    </xf>
    <xf numFmtId="0" fontId="0" fillId="0" borderId="144" xfId="0" applyBorder="1" applyAlignment="1">
      <alignment horizontal="center"/>
    </xf>
    <xf numFmtId="0" fontId="129" fillId="0" borderId="144" xfId="21414" applyFont="1" applyFill="1" applyBorder="1" applyAlignment="1">
      <alignment horizontal="left" vertical="center" wrapText="1" indent="1"/>
    </xf>
    <xf numFmtId="0" fontId="129" fillId="3" borderId="140" xfId="0" applyFont="1" applyFill="1" applyBorder="1" applyAlignment="1">
      <alignment horizontal="left" vertical="center" wrapText="1" indent="1"/>
    </xf>
    <xf numFmtId="170" fontId="22" fillId="0" borderId="140" xfId="0" applyNumberFormat="1" applyFont="1" applyBorder="1" applyAlignment="1">
      <alignment horizontal="center"/>
    </xf>
    <xf numFmtId="0" fontId="130" fillId="0" borderId="140" xfId="0" applyFont="1" applyBorder="1" applyAlignment="1">
      <alignment horizontal="left" vertical="center" wrapText="1"/>
    </xf>
    <xf numFmtId="0" fontId="22" fillId="0" borderId="140" xfId="0" applyFont="1" applyBorder="1"/>
    <xf numFmtId="0" fontId="129" fillId="0" borderId="140" xfId="0" applyFont="1" applyBorder="1" applyAlignment="1">
      <alignment horizontal="left" vertical="center" wrapText="1" indent="1"/>
    </xf>
    <xf numFmtId="0" fontId="129" fillId="0" borderId="140" xfId="0" applyFont="1" applyFill="1" applyBorder="1" applyAlignment="1">
      <alignment horizontal="left" vertical="center" wrapText="1" indent="1"/>
    </xf>
    <xf numFmtId="0" fontId="131" fillId="3" borderId="140" xfId="0" applyFont="1" applyFill="1" applyBorder="1" applyAlignment="1">
      <alignment horizontal="left" vertical="center" wrapText="1" indent="1"/>
    </xf>
    <xf numFmtId="0" fontId="131" fillId="0" borderId="140" xfId="0" applyFont="1" applyFill="1" applyBorder="1" applyAlignment="1">
      <alignment horizontal="left" vertical="center" wrapText="1" indent="1"/>
    </xf>
    <xf numFmtId="170" fontId="22" fillId="0" borderId="140" xfId="0" applyNumberFormat="1" applyFont="1" applyFill="1" applyBorder="1" applyAlignment="1">
      <alignment horizontal="center"/>
    </xf>
    <xf numFmtId="170" fontId="21" fillId="0" borderId="56" xfId="0" applyNumberFormat="1" applyFont="1" applyFill="1" applyBorder="1" applyAlignment="1">
      <alignment horizontal="center"/>
    </xf>
    <xf numFmtId="170" fontId="17" fillId="0" borderId="58" xfId="0" applyNumberFormat="1" applyFont="1" applyFill="1" applyBorder="1" applyAlignment="1">
      <alignment horizontal="center"/>
    </xf>
    <xf numFmtId="0" fontId="118" fillId="0" borderId="140" xfId="0" applyFont="1" applyBorder="1"/>
    <xf numFmtId="49" fontId="120" fillId="0" borderId="140" xfId="5" applyNumberFormat="1" applyFont="1" applyFill="1" applyBorder="1" applyAlignment="1" applyProtection="1">
      <alignment horizontal="right" vertical="center"/>
      <protection locked="0"/>
    </xf>
    <xf numFmtId="0" fontId="119" fillId="3" borderId="140" xfId="13" applyFont="1" applyFill="1" applyBorder="1" applyAlignment="1" applyProtection="1">
      <alignment horizontal="left" vertical="center" wrapText="1"/>
      <protection locked="0"/>
    </xf>
    <xf numFmtId="49" fontId="119" fillId="3" borderId="140" xfId="5" applyNumberFormat="1" applyFont="1" applyFill="1" applyBorder="1" applyAlignment="1" applyProtection="1">
      <alignment horizontal="right" vertical="center"/>
      <protection locked="0"/>
    </xf>
    <xf numFmtId="0" fontId="119" fillId="0" borderId="140" xfId="13" applyFont="1" applyFill="1" applyBorder="1" applyAlignment="1" applyProtection="1">
      <alignment horizontal="left" vertical="center" wrapText="1"/>
      <protection locked="0"/>
    </xf>
    <xf numFmtId="49" fontId="119" fillId="0" borderId="140" xfId="5" applyNumberFormat="1" applyFont="1" applyFill="1" applyBorder="1" applyAlignment="1" applyProtection="1">
      <alignment horizontal="right" vertical="center"/>
      <protection locked="0"/>
    </xf>
    <xf numFmtId="0" fontId="121" fillId="0" borderId="140" xfId="13" applyFont="1" applyFill="1" applyBorder="1" applyAlignment="1" applyProtection="1">
      <alignment horizontal="left" vertical="center" wrapText="1"/>
      <protection locked="0"/>
    </xf>
    <xf numFmtId="0" fontId="114" fillId="0" borderId="148" xfId="0" applyFont="1" applyBorder="1"/>
    <xf numFmtId="0" fontId="114" fillId="0" borderId="148" xfId="0" applyFont="1" applyFill="1" applyBorder="1"/>
    <xf numFmtId="0" fontId="114" fillId="0" borderId="148" xfId="0" applyFont="1" applyBorder="1" applyAlignment="1">
      <alignment horizontal="left" indent="8"/>
    </xf>
    <xf numFmtId="0" fontId="114" fillId="0" borderId="148" xfId="0" applyFont="1" applyBorder="1" applyAlignment="1">
      <alignment wrapText="1"/>
    </xf>
    <xf numFmtId="0" fontId="117" fillId="0" borderId="148" xfId="0" applyFont="1" applyBorder="1"/>
    <xf numFmtId="49" fontId="120" fillId="0" borderId="148" xfId="5" applyNumberFormat="1" applyFont="1" applyFill="1" applyBorder="1" applyAlignment="1" applyProtection="1">
      <alignment horizontal="right" vertical="center" wrapText="1"/>
      <protection locked="0"/>
    </xf>
    <xf numFmtId="49" fontId="119" fillId="3" borderId="148" xfId="5" applyNumberFormat="1" applyFont="1" applyFill="1" applyBorder="1" applyAlignment="1" applyProtection="1">
      <alignment horizontal="right" vertical="center" wrapText="1"/>
      <protection locked="0"/>
    </xf>
    <xf numFmtId="49" fontId="119" fillId="0" borderId="148" xfId="5" applyNumberFormat="1" applyFont="1" applyFill="1" applyBorder="1" applyAlignment="1" applyProtection="1">
      <alignment horizontal="right" vertical="center" wrapText="1"/>
      <protection locked="0"/>
    </xf>
    <xf numFmtId="0" fontId="114" fillId="0" borderId="148" xfId="0" applyFont="1" applyBorder="1" applyAlignment="1">
      <alignment horizontal="center" vertical="center" wrapText="1"/>
    </xf>
    <xf numFmtId="0" fontId="114" fillId="0" borderId="149" xfId="0" applyFont="1" applyFill="1" applyBorder="1" applyAlignment="1">
      <alignment horizontal="center" vertical="center" wrapText="1"/>
    </xf>
    <xf numFmtId="0" fontId="114" fillId="0" borderId="148"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7" fillId="0" borderId="148" xfId="0" applyFont="1" applyFill="1" applyBorder="1"/>
    <xf numFmtId="0" fontId="114" fillId="0" borderId="148" xfId="0" applyNumberFormat="1" applyFont="1" applyFill="1" applyBorder="1" applyAlignment="1">
      <alignment horizontal="left" vertical="center" wrapText="1"/>
    </xf>
    <xf numFmtId="0" fontId="117" fillId="0" borderId="148" xfId="0" applyFont="1" applyFill="1" applyBorder="1" applyAlignment="1">
      <alignment horizontal="left" wrapText="1" indent="1"/>
    </xf>
    <xf numFmtId="0" fontId="117" fillId="0" borderId="148" xfId="0" applyFont="1" applyFill="1" applyBorder="1" applyAlignment="1">
      <alignment horizontal="left" vertical="center" indent="1"/>
    </xf>
    <xf numFmtId="0" fontId="114" fillId="0" borderId="148" xfId="0" applyFont="1" applyFill="1" applyBorder="1" applyAlignment="1">
      <alignment horizontal="left" wrapText="1" indent="1"/>
    </xf>
    <xf numFmtId="0" fontId="114" fillId="0" borderId="148" xfId="0" applyFont="1" applyFill="1" applyBorder="1" applyAlignment="1">
      <alignment horizontal="left" indent="1"/>
    </xf>
    <xf numFmtId="0" fontId="114" fillId="0" borderId="148" xfId="0" applyFont="1" applyFill="1" applyBorder="1" applyAlignment="1">
      <alignment horizontal="left" wrapText="1" indent="4"/>
    </xf>
    <xf numFmtId="0" fontId="114" fillId="0" borderId="148" xfId="0" applyNumberFormat="1" applyFont="1" applyFill="1" applyBorder="1" applyAlignment="1">
      <alignment horizontal="left" indent="3"/>
    </xf>
    <xf numFmtId="0" fontId="117" fillId="0" borderId="148" xfId="0" applyFont="1" applyFill="1" applyBorder="1" applyAlignment="1">
      <alignment horizontal="left" indent="1"/>
    </xf>
    <xf numFmtId="0" fontId="118" fillId="0" borderId="148" xfId="0" applyFont="1" applyFill="1" applyBorder="1" applyAlignment="1">
      <alignment horizontal="center" vertical="center" wrapText="1"/>
    </xf>
    <xf numFmtId="0" fontId="114" fillId="80" borderId="148" xfId="0" applyFont="1" applyFill="1" applyBorder="1"/>
    <xf numFmtId="0" fontId="117" fillId="0" borderId="7" xfId="0" applyFont="1" applyBorder="1"/>
    <xf numFmtId="0" fontId="114" fillId="0" borderId="148" xfId="0" applyFont="1" applyFill="1" applyBorder="1" applyAlignment="1">
      <alignment horizontal="left" wrapText="1" indent="2"/>
    </xf>
    <xf numFmtId="0" fontId="114" fillId="0" borderId="148" xfId="0" applyFont="1" applyFill="1" applyBorder="1" applyAlignment="1">
      <alignment horizontal="left" wrapText="1"/>
    </xf>
    <xf numFmtId="0" fontId="114" fillId="0" borderId="0" xfId="0" applyFont="1" applyBorder="1"/>
    <xf numFmtId="0" fontId="117" fillId="84" borderId="148" xfId="0" applyFont="1" applyFill="1" applyBorder="1"/>
    <xf numFmtId="0" fontId="114" fillId="0" borderId="148" xfId="0" applyFont="1" applyBorder="1" applyAlignment="1">
      <alignment horizontal="left" indent="1"/>
    </xf>
    <xf numFmtId="0" fontId="114" fillId="0" borderId="148" xfId="0" applyFont="1" applyBorder="1" applyAlignment="1">
      <alignment horizontal="center"/>
    </xf>
    <xf numFmtId="0" fontId="114" fillId="0" borderId="0" xfId="0" applyFont="1" applyBorder="1" applyAlignment="1">
      <alignment horizontal="center" vertical="center"/>
    </xf>
    <xf numFmtId="0" fontId="114" fillId="0" borderId="148" xfId="0" applyFont="1" applyFill="1" applyBorder="1" applyAlignment="1">
      <alignment horizontal="center" vertical="center" wrapText="1"/>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3" xfId="0" applyFont="1" applyBorder="1" applyAlignment="1">
      <alignment wrapText="1"/>
    </xf>
    <xf numFmtId="0" fontId="114" fillId="0" borderId="7" xfId="0" applyFont="1" applyBorder="1" applyAlignment="1">
      <alignment wrapText="1"/>
    </xf>
    <xf numFmtId="0" fontId="114" fillId="0" borderId="0" xfId="0" applyFont="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150"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0" xfId="0" applyFont="1" applyFill="1"/>
    <xf numFmtId="49" fontId="114" fillId="0" borderId="154" xfId="0" applyNumberFormat="1" applyFont="1" applyFill="1" applyBorder="1" applyAlignment="1">
      <alignment horizontal="left" wrapText="1" indent="1"/>
    </xf>
    <xf numFmtId="0" fontId="114" fillId="0" borderId="155" xfId="0" applyNumberFormat="1" applyFont="1" applyFill="1" applyBorder="1" applyAlignment="1">
      <alignment horizontal="left" wrapText="1" indent="1"/>
    </xf>
    <xf numFmtId="49" fontId="114" fillId="0" borderId="156" xfId="0" applyNumberFormat="1" applyFont="1" applyFill="1" applyBorder="1" applyAlignment="1">
      <alignment horizontal="left" wrapText="1" indent="1"/>
    </xf>
    <xf numFmtId="0" fontId="114" fillId="0" borderId="157" xfId="0" applyNumberFormat="1" applyFont="1" applyFill="1" applyBorder="1" applyAlignment="1">
      <alignment horizontal="left" wrapText="1" indent="1"/>
    </xf>
    <xf numFmtId="49" fontId="114" fillId="0" borderId="157"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2"/>
    </xf>
    <xf numFmtId="49" fontId="114" fillId="0" borderId="157" xfId="0" applyNumberFormat="1" applyFont="1" applyBorder="1" applyAlignment="1">
      <alignment horizontal="left" wrapText="1" indent="2"/>
    </xf>
    <xf numFmtId="49" fontId="114" fillId="0" borderId="156" xfId="0" applyNumberFormat="1" applyFont="1" applyFill="1" applyBorder="1" applyAlignment="1">
      <alignment horizontal="left" vertical="top" wrapText="1" indent="2"/>
    </xf>
    <xf numFmtId="49" fontId="114" fillId="0" borderId="156" xfId="0" applyNumberFormat="1" applyFont="1" applyFill="1" applyBorder="1" applyAlignment="1">
      <alignment horizontal="left" indent="1"/>
    </xf>
    <xf numFmtId="0" fontId="114" fillId="0" borderId="157" xfId="0" applyNumberFormat="1" applyFont="1" applyBorder="1" applyAlignment="1">
      <alignment horizontal="left" indent="1"/>
    </xf>
    <xf numFmtId="49" fontId="114" fillId="0" borderId="157" xfId="0" applyNumberFormat="1" applyFont="1" applyBorder="1" applyAlignment="1">
      <alignment horizontal="left" indent="1"/>
    </xf>
    <xf numFmtId="49" fontId="114" fillId="0" borderId="156" xfId="0" applyNumberFormat="1" applyFont="1" applyFill="1" applyBorder="1" applyAlignment="1">
      <alignment horizontal="left" indent="3"/>
    </xf>
    <xf numFmtId="49" fontId="114" fillId="0" borderId="157" xfId="0" applyNumberFormat="1" applyFont="1" applyBorder="1" applyAlignment="1">
      <alignment horizontal="left" indent="3"/>
    </xf>
    <xf numFmtId="0" fontId="114" fillId="0" borderId="157" xfId="0" applyFont="1" applyBorder="1" applyAlignment="1">
      <alignment horizontal="left" indent="2"/>
    </xf>
    <xf numFmtId="0" fontId="114" fillId="0" borderId="156" xfId="0" applyFont="1" applyBorder="1" applyAlignment="1">
      <alignment horizontal="left" indent="2"/>
    </xf>
    <xf numFmtId="0" fontId="114" fillId="0" borderId="157" xfId="0" applyFont="1" applyBorder="1" applyAlignment="1">
      <alignment horizontal="left" indent="1"/>
    </xf>
    <xf numFmtId="0" fontId="114" fillId="0" borderId="156" xfId="0" applyFont="1" applyBorder="1" applyAlignment="1">
      <alignment horizontal="left" indent="1"/>
    </xf>
    <xf numFmtId="0" fontId="117" fillId="0" borderId="64" xfId="0" applyFont="1" applyBorder="1"/>
    <xf numFmtId="0" fontId="114" fillId="0" borderId="69" xfId="0" applyFont="1" applyBorder="1"/>
    <xf numFmtId="0" fontId="114" fillId="0" borderId="0" xfId="0" applyFont="1" applyBorder="1" applyAlignment="1">
      <alignment wrapText="1"/>
    </xf>
    <xf numFmtId="0" fontId="114" fillId="0" borderId="0" xfId="0" applyFont="1" applyAlignment="1">
      <alignment horizontal="center" vertical="center"/>
    </xf>
    <xf numFmtId="0" fontId="114" fillId="0" borderId="0" xfId="0" applyFont="1" applyBorder="1" applyAlignment="1">
      <alignment horizontal="left"/>
    </xf>
    <xf numFmtId="0" fontId="117" fillId="0" borderId="148" xfId="0" applyNumberFormat="1" applyFont="1" applyFill="1" applyBorder="1" applyAlignment="1">
      <alignment horizontal="left" vertical="center" wrapText="1"/>
    </xf>
    <xf numFmtId="0" fontId="114" fillId="0" borderId="7" xfId="0" applyFont="1" applyFill="1" applyBorder="1" applyAlignment="1">
      <alignment horizontal="center" vertical="center" wrapText="1"/>
    </xf>
    <xf numFmtId="0" fontId="9" fillId="0" borderId="0" xfId="0" applyFont="1" applyFill="1" applyBorder="1" applyAlignment="1">
      <alignment wrapText="1"/>
    </xf>
    <xf numFmtId="0" fontId="119" fillId="0" borderId="148" xfId="0" applyFont="1" applyBorder="1"/>
    <xf numFmtId="0" fontId="117" fillId="0" borderId="148"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7" fillId="0" borderId="0" xfId="0" applyFont="1"/>
    <xf numFmtId="0" fontId="114" fillId="0" borderId="135" xfId="0" applyNumberFormat="1" applyFont="1" applyFill="1" applyBorder="1" applyAlignment="1">
      <alignment horizontal="left" vertical="center" wrapText="1" indent="1" readingOrder="1"/>
    </xf>
    <xf numFmtId="0" fontId="119" fillId="0" borderId="148" xfId="0" applyFont="1" applyBorder="1" applyAlignment="1">
      <alignment horizontal="left" indent="3"/>
    </xf>
    <xf numFmtId="0" fontId="117" fillId="0" borderId="148" xfId="0" applyNumberFormat="1" applyFont="1" applyFill="1" applyBorder="1" applyAlignment="1">
      <alignment vertical="center" wrapText="1" readingOrder="1"/>
    </xf>
    <xf numFmtId="0" fontId="119" fillId="0" borderId="148" xfId="0" applyFont="1" applyFill="1" applyBorder="1" applyAlignment="1">
      <alignment horizontal="left" indent="2"/>
    </xf>
    <xf numFmtId="0" fontId="114" fillId="0" borderId="136" xfId="0" applyNumberFormat="1" applyFont="1" applyFill="1" applyBorder="1" applyAlignment="1">
      <alignment vertical="center" wrapText="1" readingOrder="1"/>
    </xf>
    <xf numFmtId="0" fontId="119" fillId="0" borderId="149" xfId="0" applyFont="1" applyBorder="1" applyAlignment="1">
      <alignment horizontal="left" indent="2"/>
    </xf>
    <xf numFmtId="0" fontId="114" fillId="0" borderId="135" xfId="0" applyNumberFormat="1" applyFont="1" applyFill="1" applyBorder="1" applyAlignment="1">
      <alignment vertical="center" wrapText="1" readingOrder="1"/>
    </xf>
    <xf numFmtId="0" fontId="119" fillId="0" borderId="148" xfId="0" applyFont="1" applyBorder="1" applyAlignment="1">
      <alignment horizontal="left" indent="2"/>
    </xf>
    <xf numFmtId="0" fontId="114" fillId="0" borderId="134" xfId="0" applyNumberFormat="1" applyFont="1" applyFill="1" applyBorder="1" applyAlignment="1">
      <alignment vertical="center" wrapText="1" readingOrder="1"/>
    </xf>
    <xf numFmtId="0" fontId="137" fillId="0" borderId="7" xfId="0" applyFont="1" applyBorder="1"/>
    <xf numFmtId="0" fontId="104" fillId="0" borderId="148" xfId="0" applyFont="1" applyFill="1" applyBorder="1" applyAlignment="1">
      <alignment vertical="center" wrapText="1"/>
    </xf>
    <xf numFmtId="0" fontId="104" fillId="0" borderId="148" xfId="0" applyFont="1" applyBorder="1" applyAlignment="1">
      <alignment horizontal="left" vertical="center" wrapText="1"/>
    </xf>
    <xf numFmtId="0" fontId="104" fillId="0" borderId="148" xfId="0" applyFont="1" applyBorder="1" applyAlignment="1">
      <alignment horizontal="left" indent="2"/>
    </xf>
    <xf numFmtId="0" fontId="104" fillId="0" borderId="148" xfId="0" applyNumberFormat="1" applyFont="1" applyFill="1" applyBorder="1" applyAlignment="1">
      <alignment vertical="center" wrapText="1"/>
    </xf>
    <xf numFmtId="0" fontId="104" fillId="0" borderId="148" xfId="0" applyNumberFormat="1" applyFont="1" applyFill="1" applyBorder="1" applyAlignment="1">
      <alignment horizontal="left" vertical="center" indent="1"/>
    </xf>
    <xf numFmtId="0" fontId="104" fillId="0" borderId="148" xfId="0" applyNumberFormat="1" applyFont="1" applyFill="1" applyBorder="1" applyAlignment="1">
      <alignment horizontal="left" vertical="center" wrapText="1" indent="1"/>
    </xf>
    <xf numFmtId="0" fontId="104" fillId="0" borderId="148" xfId="0" applyNumberFormat="1" applyFont="1" applyFill="1" applyBorder="1" applyAlignment="1">
      <alignment horizontal="right" vertical="center"/>
    </xf>
    <xf numFmtId="49" fontId="104" fillId="0" borderId="148" xfId="0" applyNumberFormat="1" applyFont="1" applyFill="1" applyBorder="1" applyAlignment="1">
      <alignment horizontal="right" vertical="center"/>
    </xf>
    <xf numFmtId="0" fontId="104" fillId="0" borderId="149" xfId="0" applyNumberFormat="1" applyFont="1" applyFill="1" applyBorder="1" applyAlignment="1">
      <alignment horizontal="left" vertical="top" wrapText="1"/>
    </xf>
    <xf numFmtId="49" fontId="104" fillId="0" borderId="148" xfId="0" applyNumberFormat="1" applyFont="1" applyFill="1" applyBorder="1" applyAlignment="1">
      <alignment vertical="top" wrapText="1"/>
    </xf>
    <xf numFmtId="49" fontId="104" fillId="0" borderId="148" xfId="0" applyNumberFormat="1" applyFont="1" applyFill="1" applyBorder="1" applyAlignment="1">
      <alignment horizontal="left" vertical="top" wrapText="1" indent="2"/>
    </xf>
    <xf numFmtId="49" fontId="104" fillId="0" borderId="148" xfId="0" applyNumberFormat="1" applyFont="1" applyFill="1" applyBorder="1" applyAlignment="1">
      <alignment horizontal="left" vertical="center" wrapText="1" indent="3"/>
    </xf>
    <xf numFmtId="49" fontId="104" fillId="0" borderId="148" xfId="0" applyNumberFormat="1" applyFont="1" applyFill="1" applyBorder="1" applyAlignment="1">
      <alignment horizontal="left" wrapText="1" indent="2"/>
    </xf>
    <xf numFmtId="49" fontId="104" fillId="0" borderId="148" xfId="0" applyNumberFormat="1" applyFont="1" applyFill="1" applyBorder="1" applyAlignment="1">
      <alignment horizontal="left" vertical="top" wrapText="1"/>
    </xf>
    <xf numFmtId="49" fontId="104" fillId="0" borderId="148" xfId="0" applyNumberFormat="1" applyFont="1" applyFill="1" applyBorder="1" applyAlignment="1">
      <alignment horizontal="left" wrapText="1" indent="3"/>
    </xf>
    <xf numFmtId="49" fontId="104" fillId="0" borderId="148" xfId="0" applyNumberFormat="1" applyFont="1" applyFill="1" applyBorder="1" applyAlignment="1">
      <alignment vertical="center"/>
    </xf>
    <xf numFmtId="0" fontId="104" fillId="0" borderId="148" xfId="0" applyFont="1" applyFill="1" applyBorder="1" applyAlignment="1">
      <alignment horizontal="left" vertical="center" wrapText="1"/>
    </xf>
    <xf numFmtId="49" fontId="104" fillId="0" borderId="148" xfId="0" applyNumberFormat="1" applyFont="1" applyFill="1" applyBorder="1" applyAlignment="1">
      <alignment horizontal="left" indent="3"/>
    </xf>
    <xf numFmtId="0" fontId="104" fillId="0" borderId="148" xfId="0" applyFont="1" applyBorder="1" applyAlignment="1">
      <alignment horizontal="left" indent="1"/>
    </xf>
    <xf numFmtId="0" fontId="104" fillId="0" borderId="148" xfId="0" applyNumberFormat="1" applyFont="1" applyFill="1" applyBorder="1" applyAlignment="1">
      <alignment horizontal="left" vertical="center" wrapText="1"/>
    </xf>
    <xf numFmtId="0" fontId="104" fillId="0" borderId="148" xfId="0" applyFont="1" applyFill="1" applyBorder="1" applyAlignment="1">
      <alignment horizontal="left" wrapText="1" indent="2"/>
    </xf>
    <xf numFmtId="0" fontId="104" fillId="0" borderId="148" xfId="0" applyFont="1" applyBorder="1" applyAlignment="1">
      <alignment horizontal="left" vertical="top" wrapText="1"/>
    </xf>
    <xf numFmtId="0" fontId="103" fillId="0" borderId="7" xfId="0" applyFont="1" applyBorder="1" applyAlignment="1">
      <alignment wrapText="1"/>
    </xf>
    <xf numFmtId="0" fontId="104" fillId="0" borderId="148" xfId="0" applyFont="1" applyBorder="1" applyAlignment="1">
      <alignment horizontal="left" vertical="top" wrapText="1" indent="2"/>
    </xf>
    <xf numFmtId="0" fontId="104" fillId="0" borderId="148" xfId="0" applyFont="1" applyBorder="1" applyAlignment="1">
      <alignment horizontal="left" wrapText="1"/>
    </xf>
    <xf numFmtId="0" fontId="104" fillId="0" borderId="148" xfId="12672" applyFont="1" applyFill="1" applyBorder="1" applyAlignment="1">
      <alignment horizontal="left" vertical="center" wrapText="1" indent="2"/>
    </xf>
    <xf numFmtId="0" fontId="104" fillId="0" borderId="148" xfId="0" applyFont="1" applyBorder="1" applyAlignment="1">
      <alignment horizontal="left" wrapText="1" indent="2"/>
    </xf>
    <xf numFmtId="0" fontId="104" fillId="0" borderId="148" xfId="0" applyFont="1" applyBorder="1" applyAlignment="1">
      <alignment wrapText="1"/>
    </xf>
    <xf numFmtId="0" fontId="104" fillId="0" borderId="148" xfId="0" applyFont="1" applyBorder="1"/>
    <xf numFmtId="0" fontId="104" fillId="0" borderId="148" xfId="12672" applyFont="1" applyFill="1" applyBorder="1" applyAlignment="1">
      <alignment horizontal="left" vertical="center" wrapText="1"/>
    </xf>
    <xf numFmtId="0" fontId="103" fillId="0" borderId="148" xfId="0" applyFont="1" applyBorder="1" applyAlignment="1">
      <alignment wrapText="1"/>
    </xf>
    <xf numFmtId="0" fontId="104" fillId="0" borderId="150" xfId="0" applyNumberFormat="1" applyFont="1" applyFill="1" applyBorder="1" applyAlignment="1">
      <alignment horizontal="left" vertical="center" wrapText="1"/>
    </xf>
    <xf numFmtId="0" fontId="104" fillId="3" borderId="148" xfId="5" applyNumberFormat="1" applyFont="1" applyFill="1" applyBorder="1" applyAlignment="1" applyProtection="1">
      <alignment horizontal="right" vertical="center"/>
      <protection locked="0"/>
    </xf>
    <xf numFmtId="2" fontId="104" fillId="3" borderId="148" xfId="5" applyNumberFormat="1" applyFont="1" applyFill="1" applyBorder="1" applyAlignment="1" applyProtection="1">
      <alignment horizontal="right" vertical="center"/>
      <protection locked="0"/>
    </xf>
    <xf numFmtId="0" fontId="104" fillId="0" borderId="148" xfId="0" applyNumberFormat="1" applyFont="1" applyFill="1" applyBorder="1" applyAlignment="1">
      <alignment vertical="center"/>
    </xf>
    <xf numFmtId="0" fontId="104" fillId="0" borderId="150" xfId="13" applyFont="1" applyFill="1" applyBorder="1" applyAlignment="1" applyProtection="1">
      <alignment horizontal="left" vertical="top" wrapText="1"/>
      <protection locked="0"/>
    </xf>
    <xf numFmtId="0" fontId="104" fillId="0" borderId="151" xfId="13" applyFont="1" applyFill="1" applyBorder="1" applyAlignment="1" applyProtection="1">
      <alignment horizontal="left" vertical="top" wrapText="1"/>
      <protection locked="0"/>
    </xf>
    <xf numFmtId="0" fontId="104" fillId="0" borderId="149" xfId="0" applyFont="1" applyFill="1" applyBorder="1" applyAlignment="1">
      <alignment vertical="center" wrapText="1"/>
    </xf>
    <xf numFmtId="0" fontId="123" fillId="0" borderId="0" xfId="0" applyFont="1" applyBorder="1" applyAlignment="1">
      <alignment horizontal="left" indent="2"/>
    </xf>
    <xf numFmtId="0" fontId="114" fillId="0" borderId="0" xfId="0" applyNumberFormat="1" applyFont="1" applyFill="1" applyBorder="1" applyAlignment="1">
      <alignment horizontal="left" vertical="center" indent="1"/>
    </xf>
    <xf numFmtId="0" fontId="114" fillId="0" borderId="0" xfId="0" applyNumberFormat="1" applyFont="1" applyFill="1" applyBorder="1" applyAlignment="1">
      <alignment vertical="center" wrapText="1"/>
    </xf>
    <xf numFmtId="0" fontId="114" fillId="0" borderId="0" xfId="0" applyFont="1" applyFill="1" applyBorder="1" applyAlignment="1">
      <alignment vertical="center" wrapText="1"/>
    </xf>
    <xf numFmtId="0" fontId="125" fillId="0" borderId="0" xfId="0" applyNumberFormat="1" applyFont="1" applyFill="1" applyBorder="1" applyAlignment="1">
      <alignment horizontal="left" vertical="center" wrapText="1" readingOrder="1"/>
    </xf>
    <xf numFmtId="0" fontId="123" fillId="0" borderId="0" xfId="0" applyFont="1" applyBorder="1" applyAlignment="1">
      <alignment horizontal="left" vertical="center" wrapText="1"/>
    </xf>
    <xf numFmtId="0" fontId="114" fillId="0" borderId="0" xfId="0" applyFont="1" applyFill="1" applyBorder="1" applyAlignment="1">
      <alignment horizontal="left" vertical="center" wrapText="1"/>
    </xf>
    <xf numFmtId="0" fontId="104" fillId="0" borderId="149" xfId="0" applyFont="1" applyBorder="1" applyAlignment="1">
      <alignment horizontal="left" indent="2"/>
    </xf>
    <xf numFmtId="0" fontId="104" fillId="0" borderId="136" xfId="0" applyNumberFormat="1" applyFont="1" applyFill="1" applyBorder="1" applyAlignment="1">
      <alignment horizontal="left" vertical="center" wrapText="1" readingOrder="1"/>
    </xf>
    <xf numFmtId="0" fontId="104" fillId="0" borderId="148" xfId="0" applyNumberFormat="1" applyFont="1" applyFill="1" applyBorder="1" applyAlignment="1">
      <alignment horizontal="left" vertical="center" wrapText="1" readingOrder="1"/>
    </xf>
    <xf numFmtId="170" fontId="18" fillId="85" borderId="57" xfId="0" applyNumberFormat="1" applyFont="1" applyFill="1" applyBorder="1" applyAlignment="1">
      <alignment horizontal="center"/>
    </xf>
    <xf numFmtId="0" fontId="2" fillId="0" borderId="16" xfId="0" applyNumberFormat="1" applyFont="1" applyFill="1" applyBorder="1" applyAlignment="1">
      <alignment horizontal="left" vertical="center" wrapText="1" indent="1"/>
    </xf>
    <xf numFmtId="172" fontId="25" fillId="37" borderId="63" xfId="20" applyBorder="1"/>
    <xf numFmtId="0" fontId="11" fillId="0" borderId="99" xfId="17" applyFill="1" applyBorder="1" applyAlignment="1" applyProtection="1">
      <alignment horizontal="left" vertical="top" wrapText="1"/>
    </xf>
    <xf numFmtId="0" fontId="7" fillId="83" borderId="148" xfId="13" applyFont="1" applyFill="1" applyBorder="1" applyAlignment="1" applyProtection="1">
      <alignment wrapText="1"/>
      <protection locked="0"/>
    </xf>
    <xf numFmtId="0" fontId="7" fillId="83" borderId="3" xfId="13" applyFont="1" applyFill="1" applyBorder="1" applyAlignment="1" applyProtection="1">
      <alignment vertical="center" wrapText="1"/>
      <protection locked="0"/>
    </xf>
    <xf numFmtId="0" fontId="104" fillId="0" borderId="0" xfId="0" applyFont="1" applyFill="1" applyBorder="1" applyAlignment="1">
      <alignment wrapText="1"/>
    </xf>
    <xf numFmtId="43" fontId="143" fillId="0" borderId="0" xfId="7" applyFont="1"/>
    <xf numFmtId="167" fontId="143" fillId="0" borderId="0" xfId="7" applyNumberFormat="1" applyFont="1" applyBorder="1"/>
    <xf numFmtId="43" fontId="118" fillId="0" borderId="148" xfId="7" applyFont="1" applyBorder="1"/>
    <xf numFmtId="43" fontId="115" fillId="0" borderId="148" xfId="7" applyFont="1" applyBorder="1"/>
    <xf numFmtId="167" fontId="115" fillId="0" borderId="0" xfId="7" applyNumberFormat="1" applyFont="1" applyBorder="1"/>
    <xf numFmtId="167" fontId="114" fillId="36" borderId="148" xfId="7" applyNumberFormat="1" applyFont="1" applyFill="1" applyBorder="1"/>
    <xf numFmtId="167" fontId="114" fillId="0" borderId="148" xfId="7" applyNumberFormat="1" applyFont="1" applyFill="1" applyBorder="1"/>
    <xf numFmtId="167" fontId="118" fillId="0" borderId="140" xfId="7" applyNumberFormat="1" applyFont="1" applyFill="1" applyBorder="1" applyAlignment="1">
      <alignment horizontal="center" vertical="center" wrapText="1"/>
    </xf>
    <xf numFmtId="167" fontId="118" fillId="0" borderId="140" xfId="7" applyNumberFormat="1" applyFont="1" applyBorder="1" applyAlignment="1">
      <alignment horizontal="center" vertical="center" wrapText="1"/>
    </xf>
    <xf numFmtId="43" fontId="115" fillId="0" borderId="0" xfId="7" applyFont="1"/>
    <xf numFmtId="167" fontId="118" fillId="0" borderId="140" xfId="7" applyNumberFormat="1" applyFont="1" applyBorder="1"/>
    <xf numFmtId="197" fontId="111" fillId="79" borderId="99" xfId="20961" applyNumberFormat="1" applyFont="1" applyFill="1" applyBorder="1" applyAlignment="1" applyProtection="1">
      <alignment horizontal="right" vertical="center"/>
    </xf>
    <xf numFmtId="43" fontId="4" fillId="36" borderId="24" xfId="7" applyFont="1" applyFill="1" applyBorder="1"/>
    <xf numFmtId="43" fontId="4" fillId="36" borderId="23" xfId="7" applyFont="1" applyFill="1" applyBorder="1"/>
    <xf numFmtId="43" fontId="4" fillId="0" borderId="20" xfId="7" applyFont="1" applyBorder="1" applyAlignment="1"/>
    <xf numFmtId="43" fontId="21" fillId="0" borderId="140" xfId="7" applyFont="1" applyFill="1" applyBorder="1" applyAlignment="1">
      <alignment horizontal="center" vertical="center"/>
    </xf>
    <xf numFmtId="43" fontId="21" fillId="0" borderId="14" xfId="7" applyFont="1" applyFill="1" applyBorder="1" applyAlignment="1">
      <alignment horizontal="center" vertical="center"/>
    </xf>
    <xf numFmtId="43" fontId="18" fillId="0" borderId="13" xfId="7" applyFont="1" applyBorder="1" applyAlignment="1">
      <alignment vertical="center"/>
    </xf>
    <xf numFmtId="43" fontId="21" fillId="0" borderId="13" xfId="7" applyFont="1" applyBorder="1" applyAlignment="1">
      <alignment horizontal="center" vertical="center"/>
    </xf>
    <xf numFmtId="43" fontId="21" fillId="0" borderId="15" xfId="7" applyFont="1" applyBorder="1" applyAlignment="1">
      <alignment horizontal="center" vertical="center"/>
    </xf>
    <xf numFmtId="43" fontId="22" fillId="0" borderId="13" xfId="7" applyFont="1" applyBorder="1" applyAlignment="1">
      <alignment horizontal="center" vertical="center"/>
    </xf>
    <xf numFmtId="43" fontId="22" fillId="0" borderId="12" xfId="7" applyFont="1" applyFill="1" applyBorder="1" applyAlignment="1">
      <alignment horizontal="center" vertical="center"/>
    </xf>
    <xf numFmtId="43" fontId="102" fillId="0" borderId="12" xfId="7" applyFont="1" applyBorder="1" applyAlignment="1">
      <alignment horizontal="center" vertical="center"/>
    </xf>
    <xf numFmtId="43" fontId="18" fillId="0" borderId="12" xfId="7" applyFont="1" applyBorder="1" applyAlignment="1">
      <alignment horizontal="center" vertical="center"/>
    </xf>
    <xf numFmtId="43" fontId="21" fillId="0" borderId="12" xfId="7" applyFont="1" applyBorder="1" applyAlignment="1">
      <alignment horizontal="center" vertical="center"/>
    </xf>
    <xf numFmtId="43" fontId="22" fillId="0" borderId="12" xfId="7" applyFont="1" applyBorder="1" applyAlignment="1">
      <alignment horizontal="center" vertical="center"/>
    </xf>
    <xf numFmtId="43" fontId="21" fillId="0" borderId="30" xfId="7" applyFont="1" applyBorder="1" applyAlignment="1">
      <alignment horizontal="center" vertical="center"/>
    </xf>
    <xf numFmtId="43" fontId="4" fillId="0" borderId="59" xfId="7" applyFont="1" applyFill="1" applyBorder="1" applyAlignment="1">
      <alignment horizontal="center" vertical="center" wrapText="1"/>
    </xf>
    <xf numFmtId="43" fontId="9" fillId="0" borderId="0" xfId="7" applyFont="1" applyFill="1" applyBorder="1" applyAlignment="1" applyProtection="1"/>
    <xf numFmtId="43" fontId="22" fillId="0" borderId="0" xfId="7" applyFont="1"/>
    <xf numFmtId="43" fontId="22" fillId="0" borderId="140" xfId="7" applyFont="1" applyBorder="1" applyAlignment="1">
      <alignment horizontal="center" vertical="center"/>
    </xf>
    <xf numFmtId="43" fontId="21" fillId="0" borderId="140" xfId="7" applyFont="1" applyBorder="1" applyAlignment="1">
      <alignment horizontal="center" vertical="center"/>
    </xf>
    <xf numFmtId="43" fontId="21" fillId="0" borderId="140" xfId="7" applyFont="1" applyBorder="1" applyAlignment="1">
      <alignment horizontal="center"/>
    </xf>
    <xf numFmtId="43" fontId="7" fillId="0" borderId="24" xfId="7" applyFont="1" applyFill="1" applyBorder="1" applyAlignment="1" applyProtection="1">
      <alignment horizontal="right" vertical="center"/>
    </xf>
    <xf numFmtId="43" fontId="6" fillId="36" borderId="114" xfId="7" applyFont="1" applyFill="1" applyBorder="1" applyAlignment="1">
      <alignment horizontal="center" vertical="center" wrapText="1"/>
    </xf>
    <xf numFmtId="43" fontId="107" fillId="0" borderId="114" xfId="7" applyFont="1" applyFill="1" applyBorder="1" applyAlignment="1">
      <alignment horizontal="right" vertical="center" wrapText="1"/>
    </xf>
    <xf numFmtId="43" fontId="6" fillId="36" borderId="114" xfId="7" applyFont="1" applyFill="1" applyBorder="1" applyAlignment="1">
      <alignment horizontal="right" vertical="center" wrapText="1"/>
    </xf>
    <xf numFmtId="43" fontId="4" fillId="0" borderId="114" xfId="7" applyFont="1" applyFill="1" applyBorder="1" applyAlignment="1">
      <alignment horizontal="right" vertical="center" wrapText="1"/>
    </xf>
    <xf numFmtId="196" fontId="0" fillId="0" borderId="0" xfId="0" applyNumberFormat="1" applyAlignment="1">
      <alignment wrapText="1"/>
    </xf>
    <xf numFmtId="170" fontId="0" fillId="0" borderId="0" xfId="0" applyNumberFormat="1"/>
    <xf numFmtId="3" fontId="4" fillId="0" borderId="0" xfId="0" applyNumberFormat="1" applyFont="1"/>
    <xf numFmtId="167" fontId="115" fillId="0" borderId="0" xfId="0" applyNumberFormat="1" applyFont="1"/>
    <xf numFmtId="167" fontId="114" fillId="0" borderId="0" xfId="7" applyNumberFormat="1" applyFont="1"/>
    <xf numFmtId="167" fontId="117" fillId="0" borderId="148" xfId="7" applyNumberFormat="1" applyFont="1" applyBorder="1"/>
    <xf numFmtId="167" fontId="114" fillId="0" borderId="148" xfId="7" applyNumberFormat="1" applyFont="1" applyBorder="1"/>
    <xf numFmtId="10" fontId="4" fillId="0" borderId="167" xfId="20961" applyNumberFormat="1" applyFont="1" applyBorder="1" applyAlignment="1"/>
    <xf numFmtId="10" fontId="4" fillId="0" borderId="169" xfId="20961" applyNumberFormat="1" applyFont="1" applyBorder="1" applyAlignment="1"/>
    <xf numFmtId="0" fontId="9" fillId="0" borderId="167" xfId="0" applyFont="1" applyBorder="1" applyAlignment="1"/>
    <xf numFmtId="0" fontId="9" fillId="0" borderId="172" xfId="0" applyFont="1" applyBorder="1" applyAlignment="1">
      <alignment wrapText="1"/>
    </xf>
    <xf numFmtId="0" fontId="4" fillId="0" borderId="167" xfId="0" applyFont="1" applyBorder="1" applyAlignment="1"/>
    <xf numFmtId="0" fontId="13" fillId="0" borderId="172" xfId="0" applyFont="1" applyBorder="1" applyAlignment="1">
      <alignment wrapText="1"/>
    </xf>
    <xf numFmtId="0" fontId="9" fillId="0" borderId="173" xfId="0" applyFont="1" applyBorder="1" applyAlignment="1">
      <alignment vertical="center"/>
    </xf>
    <xf numFmtId="167" fontId="0" fillId="36" borderId="166" xfId="7" applyNumberFormat="1" applyFont="1" applyFill="1" applyBorder="1" applyAlignment="1">
      <alignment vertical="center"/>
    </xf>
    <xf numFmtId="167" fontId="0" fillId="0" borderId="166" xfId="7" applyNumberFormat="1" applyFont="1" applyBorder="1" applyAlignment="1">
      <alignment vertical="center"/>
    </xf>
    <xf numFmtId="167" fontId="0" fillId="36" borderId="166" xfId="7" applyNumberFormat="1" applyFont="1" applyFill="1" applyBorder="1"/>
    <xf numFmtId="0" fontId="0" fillId="0" borderId="0" xfId="0"/>
    <xf numFmtId="0" fontId="2" fillId="0" borderId="0" xfId="0" applyFont="1"/>
    <xf numFmtId="0" fontId="141" fillId="0" borderId="0" xfId="0" applyFont="1"/>
    <xf numFmtId="0" fontId="142" fillId="0" borderId="0" xfId="0" applyFont="1"/>
    <xf numFmtId="0" fontId="142" fillId="0" borderId="0" xfId="0" applyFont="1" applyFill="1"/>
    <xf numFmtId="0" fontId="142" fillId="0" borderId="148" xfId="0" applyFont="1" applyBorder="1"/>
    <xf numFmtId="172" fontId="25" fillId="37" borderId="0" xfId="20" applyBorder="1"/>
    <xf numFmtId="14" fontId="142" fillId="0" borderId="0" xfId="0" applyNumberFormat="1" applyFont="1"/>
    <xf numFmtId="172" fontId="25" fillId="37" borderId="0" xfId="20" applyFont="1" applyBorder="1"/>
    <xf numFmtId="167" fontId="115" fillId="0" borderId="0" xfId="7" applyNumberFormat="1" applyFont="1"/>
    <xf numFmtId="167" fontId="115" fillId="0" borderId="0" xfId="7" applyNumberFormat="1" applyFont="1" applyFill="1"/>
    <xf numFmtId="196" fontId="9" fillId="2" borderId="170" xfId="0" applyNumberFormat="1" applyFont="1" applyFill="1" applyBorder="1" applyAlignment="1" applyProtection="1">
      <alignment vertical="center"/>
      <protection locked="0"/>
    </xf>
    <xf numFmtId="196" fontId="7" fillId="0" borderId="166" xfId="0" applyNumberFormat="1" applyFont="1" applyFill="1" applyBorder="1" applyAlignment="1" applyProtection="1">
      <alignment vertical="center" wrapText="1"/>
      <protection locked="0"/>
    </xf>
    <xf numFmtId="196" fontId="7" fillId="0" borderId="166" xfId="0" applyNumberFormat="1" applyFont="1" applyFill="1" applyBorder="1" applyAlignment="1" applyProtection="1">
      <alignment horizontal="right" vertical="center" wrapText="1"/>
      <protection locked="0"/>
    </xf>
    <xf numFmtId="10" fontId="7" fillId="0" borderId="166" xfId="20961" applyNumberFormat="1" applyFont="1" applyBorder="1" applyAlignment="1" applyProtection="1">
      <alignment vertical="center" wrapText="1"/>
      <protection locked="0"/>
    </xf>
    <xf numFmtId="10" fontId="9" fillId="2" borderId="166" xfId="20961" applyNumberFormat="1" applyFont="1" applyFill="1" applyBorder="1" applyAlignment="1" applyProtection="1">
      <alignment vertical="center"/>
      <protection locked="0"/>
    </xf>
    <xf numFmtId="196" fontId="9" fillId="2" borderId="166" xfId="0" applyNumberFormat="1" applyFont="1" applyFill="1" applyBorder="1" applyAlignment="1" applyProtection="1">
      <alignment vertical="center"/>
      <protection locked="0"/>
    </xf>
    <xf numFmtId="167" fontId="118" fillId="82" borderId="166" xfId="7" applyNumberFormat="1" applyFont="1" applyFill="1" applyBorder="1"/>
    <xf numFmtId="167" fontId="115" fillId="86" borderId="166" xfId="7" applyNumberFormat="1" applyFont="1" applyFill="1" applyBorder="1"/>
    <xf numFmtId="196" fontId="4" fillId="0" borderId="0" xfId="0" applyNumberFormat="1" applyFont="1"/>
    <xf numFmtId="167" fontId="0" fillId="0" borderId="166" xfId="7" applyNumberFormat="1" applyFont="1" applyBorder="1"/>
    <xf numFmtId="167" fontId="10" fillId="0" borderId="166" xfId="0" applyNumberFormat="1" applyFont="1" applyFill="1" applyBorder="1" applyAlignment="1">
      <alignment horizontal="left" vertical="center" wrapText="1"/>
    </xf>
    <xf numFmtId="43" fontId="145" fillId="0" borderId="0" xfId="0" applyNumberFormat="1" applyFont="1"/>
    <xf numFmtId="167" fontId="114" fillId="0" borderId="0" xfId="0" applyNumberFormat="1" applyFont="1" applyBorder="1"/>
    <xf numFmtId="10" fontId="9" fillId="0" borderId="174" xfId="20961" applyNumberFormat="1" applyFont="1" applyFill="1" applyBorder="1" applyAlignment="1" applyProtection="1">
      <alignment vertical="center"/>
      <protection locked="0"/>
    </xf>
    <xf numFmtId="3" fontId="20" fillId="0" borderId="166" xfId="0" applyNumberFormat="1" applyFont="1" applyBorder="1" applyAlignment="1">
      <alignment vertical="center" wrapText="1"/>
    </xf>
    <xf numFmtId="3" fontId="20" fillId="0" borderId="172" xfId="0" applyNumberFormat="1" applyFont="1" applyBorder="1" applyAlignment="1">
      <alignment vertical="center" wrapText="1"/>
    </xf>
    <xf numFmtId="3" fontId="20" fillId="0" borderId="166" xfId="0" applyNumberFormat="1" applyFont="1" applyFill="1" applyBorder="1" applyAlignment="1">
      <alignment vertical="center" wrapText="1"/>
    </xf>
    <xf numFmtId="10" fontId="107" fillId="0" borderId="166" xfId="20961" applyNumberFormat="1" applyFont="1" applyFill="1" applyBorder="1" applyAlignment="1">
      <alignment horizontal="left" vertical="center" wrapText="1"/>
    </xf>
    <xf numFmtId="43" fontId="4" fillId="0" borderId="0" xfId="0" applyNumberFormat="1" applyFont="1" applyFill="1" applyAlignment="1">
      <alignment horizontal="left" vertical="center"/>
    </xf>
    <xf numFmtId="43" fontId="4" fillId="0" borderId="166" xfId="7" applyFont="1" applyBorder="1" applyAlignment="1"/>
    <xf numFmtId="43" fontId="4" fillId="0" borderId="172" xfId="7" applyFont="1" applyBorder="1" applyAlignment="1"/>
    <xf numFmtId="196" fontId="4" fillId="0" borderId="166" xfId="0" applyNumberFormat="1" applyFont="1" applyBorder="1" applyAlignment="1"/>
    <xf numFmtId="196" fontId="4" fillId="0" borderId="167" xfId="0" applyNumberFormat="1" applyFont="1" applyBorder="1" applyAlignment="1"/>
    <xf numFmtId="196" fontId="4" fillId="0" borderId="173" xfId="0" applyNumberFormat="1" applyFont="1" applyBorder="1" applyAlignment="1"/>
    <xf numFmtId="196" fontId="4" fillId="0" borderId="169" xfId="0" applyNumberFormat="1" applyFont="1" applyBorder="1" applyAlignment="1">
      <alignment wrapText="1"/>
    </xf>
    <xf numFmtId="196" fontId="4" fillId="0" borderId="169" xfId="0" applyNumberFormat="1" applyFont="1" applyBorder="1" applyAlignment="1"/>
    <xf numFmtId="196" fontId="4" fillId="0" borderId="166" xfId="0" applyNumberFormat="1" applyFont="1" applyBorder="1"/>
    <xf numFmtId="196" fontId="4" fillId="0" borderId="166" xfId="0" applyNumberFormat="1" applyFont="1" applyFill="1" applyBorder="1"/>
    <xf numFmtId="196" fontId="4" fillId="0" borderId="172" xfId="0" applyNumberFormat="1" applyFont="1" applyBorder="1"/>
    <xf numFmtId="196" fontId="4" fillId="0" borderId="172" xfId="0" applyNumberFormat="1" applyFont="1" applyFill="1" applyBorder="1"/>
    <xf numFmtId="167" fontId="111" fillId="0" borderId="166" xfId="948" applyNumberFormat="1" applyFont="1" applyFill="1" applyBorder="1" applyAlignment="1" applyProtection="1">
      <alignment horizontal="right" vertical="center"/>
      <protection locked="0"/>
    </xf>
    <xf numFmtId="167" fontId="118" fillId="0" borderId="166" xfId="7" applyNumberFormat="1" applyFont="1" applyBorder="1"/>
    <xf numFmtId="167" fontId="114" fillId="0" borderId="166" xfId="7" applyNumberFormat="1" applyFont="1" applyBorder="1"/>
    <xf numFmtId="167" fontId="114" fillId="0" borderId="166" xfId="7" applyNumberFormat="1" applyFont="1" applyFill="1" applyBorder="1"/>
    <xf numFmtId="167" fontId="117" fillId="0" borderId="166" xfId="7" applyNumberFormat="1" applyFont="1" applyBorder="1"/>
    <xf numFmtId="196" fontId="9" fillId="0" borderId="166" xfId="0" applyNumberFormat="1" applyFont="1" applyFill="1" applyBorder="1" applyAlignment="1" applyProtection="1">
      <alignment horizontal="right"/>
    </xf>
    <xf numFmtId="196" fontId="9" fillId="36" borderId="166" xfId="0" applyNumberFormat="1" applyFont="1" applyFill="1" applyBorder="1" applyAlignment="1" applyProtection="1">
      <alignment horizontal="right"/>
    </xf>
    <xf numFmtId="196" fontId="9" fillId="36" borderId="167" xfId="0" applyNumberFormat="1" applyFont="1" applyFill="1" applyBorder="1" applyAlignment="1" applyProtection="1">
      <alignment horizontal="right"/>
    </xf>
    <xf numFmtId="43" fontId="118" fillId="0" borderId="166" xfId="7" applyFont="1" applyBorder="1"/>
    <xf numFmtId="43" fontId="115" fillId="0" borderId="166" xfId="7" applyFont="1" applyBorder="1"/>
    <xf numFmtId="167" fontId="25" fillId="37" borderId="0" xfId="7" applyNumberFormat="1" applyFont="1" applyFill="1" applyBorder="1"/>
    <xf numFmtId="167" fontId="4" fillId="0" borderId="53" xfId="7" applyNumberFormat="1" applyFont="1" applyFill="1" applyBorder="1" applyAlignment="1">
      <alignment vertical="center"/>
    </xf>
    <xf numFmtId="167" fontId="4" fillId="0" borderId="64" xfId="7" applyNumberFormat="1" applyFont="1" applyFill="1" applyBorder="1" applyAlignment="1">
      <alignment vertical="center"/>
    </xf>
    <xf numFmtId="167" fontId="4" fillId="3" borderId="97" xfId="7" applyNumberFormat="1" applyFont="1" applyFill="1" applyBorder="1" applyAlignment="1">
      <alignment vertical="center"/>
    </xf>
    <xf numFmtId="167" fontId="4" fillId="3" borderId="21" xfId="7" applyNumberFormat="1" applyFont="1" applyFill="1" applyBorder="1" applyAlignment="1">
      <alignment vertical="center"/>
    </xf>
    <xf numFmtId="167" fontId="4" fillId="0" borderId="100" xfId="7" applyNumberFormat="1" applyFont="1" applyFill="1" applyBorder="1" applyAlignment="1">
      <alignment vertical="center"/>
    </xf>
    <xf numFmtId="167" fontId="4" fillId="0" borderId="114" xfId="7" applyNumberFormat="1" applyFont="1" applyFill="1" applyBorder="1" applyAlignment="1">
      <alignment vertical="center"/>
    </xf>
    <xf numFmtId="167" fontId="4" fillId="0" borderId="23"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6" xfId="7" applyNumberFormat="1" applyFont="1" applyFill="1" applyBorder="1" applyAlignment="1">
      <alignment vertical="center"/>
    </xf>
    <xf numFmtId="167" fontId="4" fillId="0" borderId="18" xfId="7" applyNumberFormat="1" applyFont="1" applyFill="1" applyBorder="1" applyAlignment="1">
      <alignment vertical="center"/>
    </xf>
    <xf numFmtId="167" fontId="4" fillId="0" borderId="95" xfId="7" applyNumberFormat="1" applyFont="1" applyFill="1" applyBorder="1" applyAlignment="1">
      <alignment vertical="center"/>
    </xf>
    <xf numFmtId="167" fontId="4" fillId="0" borderId="108" xfId="7" applyNumberFormat="1" applyFont="1" applyFill="1" applyBorder="1" applyAlignment="1">
      <alignment vertical="center"/>
    </xf>
    <xf numFmtId="9" fontId="4" fillId="0" borderId="93" xfId="20961" applyFont="1" applyFill="1" applyBorder="1" applyAlignment="1">
      <alignment vertical="center"/>
    </xf>
    <xf numFmtId="9" fontId="4" fillId="0" borderId="110" xfId="20961" applyFont="1" applyFill="1" applyBorder="1" applyAlignment="1">
      <alignment vertical="center"/>
    </xf>
    <xf numFmtId="14" fontId="4" fillId="0" borderId="0" xfId="0" applyNumberFormat="1" applyFont="1" applyAlignment="1">
      <alignment horizontal="left"/>
    </xf>
    <xf numFmtId="43" fontId="4" fillId="0" borderId="166" xfId="7" applyFont="1" applyFill="1" applyBorder="1" applyAlignment="1">
      <alignment vertical="center" wrapText="1"/>
    </xf>
    <xf numFmtId="43" fontId="4" fillId="0" borderId="166" xfId="7" applyFont="1" applyBorder="1" applyAlignment="1">
      <alignment vertical="center"/>
    </xf>
    <xf numFmtId="196" fontId="7" fillId="3" borderId="167" xfId="2" applyNumberFormat="1" applyFont="1" applyFill="1" applyBorder="1" applyAlignment="1" applyProtection="1">
      <alignment vertical="top"/>
      <protection locked="0"/>
    </xf>
    <xf numFmtId="196" fontId="7" fillId="36" borderId="167" xfId="2" applyNumberFormat="1" applyFont="1" applyFill="1" applyBorder="1" applyAlignment="1" applyProtection="1">
      <alignment vertical="top" wrapText="1"/>
    </xf>
    <xf numFmtId="196" fontId="7" fillId="3" borderId="167" xfId="2" applyNumberFormat="1" applyFont="1" applyFill="1" applyBorder="1" applyAlignment="1" applyProtection="1">
      <alignment vertical="top" wrapText="1"/>
      <protection locked="0"/>
    </xf>
    <xf numFmtId="196" fontId="7" fillId="36" borderId="167" xfId="2" applyNumberFormat="1" applyFont="1" applyFill="1" applyBorder="1" applyAlignment="1" applyProtection="1">
      <alignment vertical="top" wrapText="1"/>
      <protection locked="0"/>
    </xf>
    <xf numFmtId="10" fontId="7" fillId="0" borderId="166" xfId="20961" applyNumberFormat="1" applyFont="1" applyFill="1" applyBorder="1" applyAlignment="1">
      <alignment horizontal="left" vertical="center" wrapText="1"/>
    </xf>
    <xf numFmtId="10" fontId="4" fillId="0" borderId="166" xfId="20961" applyNumberFormat="1" applyFont="1" applyFill="1" applyBorder="1" applyAlignment="1">
      <alignment horizontal="left" vertical="center" wrapText="1"/>
    </xf>
    <xf numFmtId="10" fontId="6" fillId="36" borderId="166" xfId="0" applyNumberFormat="1" applyFont="1" applyFill="1" applyBorder="1" applyAlignment="1">
      <alignment horizontal="left" vertical="center" wrapText="1"/>
    </xf>
    <xf numFmtId="10" fontId="6" fillId="36" borderId="166" xfId="20961" applyNumberFormat="1" applyFont="1" applyFill="1" applyBorder="1" applyAlignment="1">
      <alignment horizontal="left" vertical="center" wrapText="1"/>
    </xf>
    <xf numFmtId="167" fontId="114" fillId="0" borderId="166" xfId="7" applyNumberFormat="1" applyFont="1" applyBorder="1" applyAlignment="1">
      <alignment horizontal="left" indent="1"/>
    </xf>
    <xf numFmtId="0" fontId="114" fillId="0" borderId="166" xfId="0" applyFont="1" applyBorder="1"/>
    <xf numFmtId="0" fontId="114" fillId="0" borderId="166" xfId="0" applyFont="1" applyBorder="1" applyAlignment="1">
      <alignment horizontal="left" indent="1"/>
    </xf>
    <xf numFmtId="43" fontId="114" fillId="0" borderId="166" xfId="7" applyFont="1" applyBorder="1" applyAlignment="1">
      <alignment horizontal="left" indent="1"/>
    </xf>
    <xf numFmtId="43" fontId="117" fillId="0" borderId="166" xfId="7" applyFont="1" applyBorder="1"/>
    <xf numFmtId="43" fontId="117" fillId="84" borderId="166" xfId="7" applyFont="1" applyFill="1" applyBorder="1"/>
    <xf numFmtId="0" fontId="117" fillId="84" borderId="166" xfId="0" applyFont="1" applyFill="1" applyBorder="1"/>
    <xf numFmtId="0" fontId="117" fillId="0" borderId="166" xfId="0" applyFont="1" applyBorder="1"/>
    <xf numFmtId="0" fontId="114" fillId="0" borderId="167" xfId="0" applyFont="1" applyBorder="1"/>
    <xf numFmtId="167" fontId="114" fillId="0" borderId="173" xfId="7" applyNumberFormat="1" applyFont="1" applyBorder="1" applyAlignment="1">
      <alignment horizontal="left" indent="1"/>
    </xf>
    <xf numFmtId="167" fontId="114" fillId="81" borderId="173" xfId="7" applyNumberFormat="1" applyFont="1" applyFill="1" applyBorder="1"/>
    <xf numFmtId="167" fontId="114" fillId="81" borderId="166" xfId="7" applyNumberFormat="1" applyFont="1" applyFill="1" applyBorder="1"/>
    <xf numFmtId="0" fontId="114" fillId="81" borderId="166" xfId="0" applyFont="1" applyFill="1" applyBorder="1"/>
    <xf numFmtId="0" fontId="114" fillId="81" borderId="167" xfId="0" applyFont="1" applyFill="1" applyBorder="1"/>
    <xf numFmtId="0" fontId="114" fillId="0" borderId="166" xfId="0" applyFont="1" applyFill="1" applyBorder="1"/>
    <xf numFmtId="0" fontId="114" fillId="0" borderId="167" xfId="0" applyFont="1" applyFill="1" applyBorder="1"/>
    <xf numFmtId="167" fontId="114" fillId="0" borderId="175" xfId="7" applyNumberFormat="1" applyFont="1" applyFill="1" applyBorder="1" applyAlignment="1">
      <alignment horizontal="left" wrapText="1" indent="1"/>
    </xf>
    <xf numFmtId="167" fontId="114" fillId="0" borderId="174" xfId="7" applyNumberFormat="1" applyFont="1" applyFill="1" applyBorder="1"/>
    <xf numFmtId="0" fontId="114" fillId="0" borderId="174" xfId="0" applyFont="1" applyFill="1" applyBorder="1"/>
    <xf numFmtId="0" fontId="114" fillId="0" borderId="176" xfId="0" applyFont="1" applyFill="1" applyBorder="1"/>
    <xf numFmtId="167" fontId="114" fillId="0" borderId="166" xfId="7" applyNumberFormat="1" applyFont="1" applyFill="1" applyBorder="1" applyAlignment="1">
      <alignment horizontal="left" vertical="center" wrapText="1"/>
    </xf>
    <xf numFmtId="167" fontId="114" fillId="0" borderId="166" xfId="7" applyNumberFormat="1" applyFont="1" applyBorder="1" applyAlignment="1">
      <alignment horizontal="center" vertical="center" wrapText="1"/>
    </xf>
    <xf numFmtId="167" fontId="114" fillId="0" borderId="166" xfId="7" applyNumberFormat="1" applyFont="1" applyBorder="1" applyAlignment="1">
      <alignment horizontal="center" vertical="center"/>
    </xf>
    <xf numFmtId="43" fontId="114" fillId="0" borderId="166" xfId="7" applyFont="1" applyBorder="1"/>
    <xf numFmtId="43" fontId="119" fillId="0" borderId="166" xfId="7" applyFont="1" applyBorder="1"/>
    <xf numFmtId="167" fontId="119" fillId="0" borderId="166" xfId="7" applyNumberFormat="1" applyFont="1" applyBorder="1"/>
    <xf numFmtId="167" fontId="119" fillId="0" borderId="170" xfId="7" applyNumberFormat="1" applyFont="1" applyBorder="1"/>
    <xf numFmtId="167" fontId="4" fillId="3" borderId="99" xfId="7" applyNumberFormat="1" applyFont="1" applyFill="1" applyBorder="1"/>
    <xf numFmtId="167" fontId="4" fillId="3" borderId="114" xfId="7" applyNumberFormat="1" applyFont="1" applyFill="1" applyBorder="1"/>
    <xf numFmtId="167" fontId="4" fillId="3" borderId="99" xfId="7" applyNumberFormat="1" applyFont="1" applyFill="1" applyBorder="1" applyAlignment="1">
      <alignment vertical="center"/>
    </xf>
    <xf numFmtId="0" fontId="140" fillId="0" borderId="29" xfId="0" applyFont="1" applyBorder="1" applyAlignment="1">
      <alignment wrapText="1"/>
    </xf>
    <xf numFmtId="167" fontId="0" fillId="0" borderId="0" xfId="0" applyNumberFormat="1"/>
    <xf numFmtId="167" fontId="0" fillId="0" borderId="0" xfId="7" applyNumberFormat="1" applyFont="1"/>
    <xf numFmtId="167" fontId="115" fillId="0" borderId="0" xfId="0" applyNumberFormat="1" applyFont="1" applyBorder="1"/>
    <xf numFmtId="167" fontId="143" fillId="0" borderId="0" xfId="7" applyNumberFormat="1" applyFont="1"/>
    <xf numFmtId="14" fontId="0" fillId="0" borderId="0" xfId="0" applyNumberFormat="1"/>
    <xf numFmtId="0" fontId="17" fillId="0" borderId="1" xfId="0" applyFont="1" applyFill="1" applyBorder="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0" fontId="4" fillId="0" borderId="0" xfId="0" applyFont="1" applyAlignment="1">
      <alignment horizontal="left" vertical="center"/>
    </xf>
    <xf numFmtId="0" fontId="12" fillId="0" borderId="0" xfId="0" applyFont="1" applyAlignment="1">
      <alignment horizontal="left" vertical="center"/>
    </xf>
    <xf numFmtId="0" fontId="144" fillId="0" borderId="160" xfId="0" applyFont="1" applyBorder="1" applyAlignment="1">
      <alignment horizontal="center" vertical="center" wrapText="1"/>
    </xf>
    <xf numFmtId="10" fontId="4" fillId="0" borderId="0" xfId="0" applyNumberFormat="1" applyFont="1" applyFill="1" applyAlignment="1">
      <alignment horizontal="left" vertical="center"/>
    </xf>
    <xf numFmtId="167" fontId="114" fillId="0" borderId="0" xfId="0" applyNumberFormat="1" applyFont="1" applyAlignment="1">
      <alignment horizontal="center" vertical="center"/>
    </xf>
    <xf numFmtId="167" fontId="114" fillId="0" borderId="0" xfId="0" applyNumberFormat="1" applyFont="1" applyBorder="1" applyAlignment="1">
      <alignment horizontal="left"/>
    </xf>
    <xf numFmtId="167" fontId="114" fillId="0" borderId="0" xfId="0" applyNumberFormat="1" applyFont="1"/>
    <xf numFmtId="167" fontId="117" fillId="0" borderId="173" xfId="7" applyNumberFormat="1" applyFont="1" applyBorder="1" applyAlignment="1">
      <alignment horizontal="left" indent="1"/>
    </xf>
    <xf numFmtId="172" fontId="2" fillId="37" borderId="0" xfId="20" applyFont="1" applyBorder="1"/>
    <xf numFmtId="172" fontId="2" fillId="37" borderId="92" xfId="20" applyFont="1" applyBorder="1"/>
    <xf numFmtId="167" fontId="115" fillId="0" borderId="0" xfId="0" applyNumberFormat="1" applyFont="1" applyFill="1"/>
    <xf numFmtId="0" fontId="102" fillId="0" borderId="66" xfId="0" applyFont="1" applyBorder="1" applyAlignment="1">
      <alignment horizontal="left" vertical="center" wrapText="1"/>
    </xf>
    <xf numFmtId="0" fontId="102" fillId="0" borderId="65" xfId="0" applyFont="1" applyBorder="1" applyAlignment="1">
      <alignment horizontal="left" vertical="center" wrapText="1"/>
    </xf>
    <xf numFmtId="0" fontId="139" fillId="0" borderId="160" xfId="0" applyFont="1" applyBorder="1" applyAlignment="1">
      <alignment horizontal="center" vertical="center" wrapText="1"/>
    </xf>
    <xf numFmtId="0" fontId="139" fillId="0" borderId="29" xfId="0" applyFont="1" applyBorder="1" applyAlignment="1">
      <alignment horizontal="center" vertical="center" wrapText="1"/>
    </xf>
    <xf numFmtId="0" fontId="139" fillId="0" borderId="161" xfId="0" applyFont="1" applyBorder="1" applyAlignment="1">
      <alignment horizontal="center" vertical="center" wrapText="1"/>
    </xf>
    <xf numFmtId="167" fontId="0" fillId="0" borderId="172" xfId="7" applyNumberFormat="1" applyFont="1" applyBorder="1" applyAlignment="1">
      <alignment horizontal="center"/>
    </xf>
    <xf numFmtId="167" fontId="0" fillId="0" borderId="168" xfId="7" applyNumberFormat="1" applyFont="1" applyBorder="1" applyAlignment="1">
      <alignment horizontal="center"/>
    </xf>
    <xf numFmtId="167" fontId="0" fillId="0" borderId="171" xfId="7" applyNumberFormat="1" applyFont="1" applyBorder="1" applyAlignment="1">
      <alignment horizontal="center"/>
    </xf>
    <xf numFmtId="0" fontId="0" fillId="0" borderId="140" xfId="0" applyBorder="1" applyAlignment="1">
      <alignment horizontal="center" vertical="center"/>
    </xf>
    <xf numFmtId="0" fontId="126" fillId="0" borderId="94" xfId="0" applyFont="1" applyBorder="1" applyAlignment="1">
      <alignment horizontal="center" vertical="center"/>
    </xf>
    <xf numFmtId="0" fontId="126"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00"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126" fillId="0" borderId="144" xfId="0" applyFont="1" applyBorder="1" applyAlignment="1">
      <alignment horizontal="center" vertical="center" wrapText="1"/>
    </xf>
    <xf numFmtId="0" fontId="126" fillId="0" borderId="7" xfId="0" applyFont="1" applyBorder="1" applyAlignment="1">
      <alignment horizontal="center" vertical="center" wrapText="1"/>
    </xf>
    <xf numFmtId="0" fontId="0" fillId="0" borderId="130" xfId="0" applyBorder="1" applyAlignment="1">
      <alignment horizontal="center" vertical="center"/>
    </xf>
    <xf numFmtId="0" fontId="0" fillId="0" borderId="11" xfId="0" applyBorder="1" applyAlignment="1">
      <alignment horizontal="center" vertical="center"/>
    </xf>
    <xf numFmtId="0" fontId="0" fillId="0" borderId="140"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xf>
    <xf numFmtId="0" fontId="4" fillId="0" borderId="21" xfId="0" applyFont="1" applyFill="1" applyBorder="1" applyAlignment="1">
      <alignment horizontal="center"/>
    </xf>
    <xf numFmtId="0" fontId="6" fillId="36" borderId="118"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115" xfId="0" applyFont="1" applyFill="1" applyBorder="1" applyAlignment="1">
      <alignment horizontal="center" vertical="center" wrapText="1"/>
    </xf>
    <xf numFmtId="0" fontId="6" fillId="36" borderId="98" xfId="0" applyFont="1" applyFill="1" applyBorder="1" applyAlignment="1">
      <alignment horizontal="center" vertical="center" wrapText="1"/>
    </xf>
    <xf numFmtId="0" fontId="100" fillId="3" borderId="67" xfId="13" applyFont="1" applyFill="1" applyBorder="1" applyAlignment="1" applyProtection="1">
      <alignment horizontal="center" vertical="center" wrapText="1"/>
      <protection locked="0"/>
    </xf>
    <xf numFmtId="0" fontId="100"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167"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7" fontId="15" fillId="0" borderId="90" xfId="1" applyNumberFormat="1" applyFont="1" applyFill="1" applyBorder="1" applyAlignment="1" applyProtection="1">
      <alignment horizontal="center" vertical="center" wrapText="1"/>
      <protection locked="0"/>
    </xf>
    <xf numFmtId="167" fontId="15" fillId="0" borderId="91"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14" fillId="0" borderId="54" xfId="0" applyFont="1" applyFill="1" applyBorder="1" applyAlignment="1">
      <alignment horizontal="left" vertical="center"/>
    </xf>
    <xf numFmtId="0" fontId="14" fillId="0" borderId="55"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4" xfId="0" applyFont="1" applyBorder="1" applyAlignment="1">
      <alignment horizontal="center" vertical="center" wrapText="1"/>
    </xf>
    <xf numFmtId="0" fontId="117" fillId="0" borderId="121" xfId="0" applyNumberFormat="1" applyFont="1" applyFill="1" applyBorder="1" applyAlignment="1">
      <alignment horizontal="left" vertical="center" wrapText="1"/>
    </xf>
    <xf numFmtId="0" fontId="117" fillId="0" borderId="122" xfId="0" applyNumberFormat="1" applyFont="1" applyFill="1" applyBorder="1" applyAlignment="1">
      <alignment horizontal="left" vertical="center" wrapText="1"/>
    </xf>
    <xf numFmtId="0" fontId="117" fillId="0" borderId="124" xfId="0" applyNumberFormat="1" applyFont="1" applyFill="1" applyBorder="1" applyAlignment="1">
      <alignment horizontal="left" vertical="center" wrapText="1"/>
    </xf>
    <xf numFmtId="0" fontId="117" fillId="0" borderId="125" xfId="0" applyNumberFormat="1" applyFont="1" applyFill="1" applyBorder="1" applyAlignment="1">
      <alignment horizontal="left" vertical="center" wrapText="1"/>
    </xf>
    <xf numFmtId="0" fontId="117" fillId="0" borderId="127" xfId="0" applyNumberFormat="1" applyFont="1" applyFill="1" applyBorder="1" applyAlignment="1">
      <alignment horizontal="left" vertical="center" wrapText="1"/>
    </xf>
    <xf numFmtId="0" fontId="117" fillId="0" borderId="128" xfId="0" applyNumberFormat="1" applyFont="1" applyFill="1" applyBorder="1" applyAlignment="1">
      <alignment horizontal="left" vertical="center" wrapText="1"/>
    </xf>
    <xf numFmtId="167" fontId="118" fillId="0" borderId="147" xfId="7" applyNumberFormat="1" applyFont="1" applyFill="1" applyBorder="1" applyAlignment="1">
      <alignment horizontal="center" vertical="center" wrapText="1"/>
    </xf>
    <xf numFmtId="167" fontId="118" fillId="0" borderId="146" xfId="7" applyNumberFormat="1" applyFont="1" applyFill="1" applyBorder="1" applyAlignment="1">
      <alignment horizontal="center" vertical="center" wrapText="1"/>
    </xf>
    <xf numFmtId="167" fontId="118" fillId="0" borderId="123" xfId="7" applyNumberFormat="1" applyFont="1" applyFill="1" applyBorder="1" applyAlignment="1">
      <alignment horizontal="center" vertical="center" wrapText="1"/>
    </xf>
    <xf numFmtId="167" fontId="118" fillId="0" borderId="53" xfId="7" applyNumberFormat="1" applyFont="1" applyFill="1" applyBorder="1" applyAlignment="1">
      <alignment horizontal="center" vertical="center" wrapText="1"/>
    </xf>
    <xf numFmtId="167" fontId="118" fillId="0" borderId="126" xfId="7" applyNumberFormat="1" applyFont="1" applyFill="1" applyBorder="1" applyAlignment="1">
      <alignment horizontal="center" vertical="center" wrapText="1"/>
    </xf>
    <xf numFmtId="167" fontId="118" fillId="0" borderId="11" xfId="7" applyNumberFormat="1" applyFont="1" applyFill="1" applyBorder="1" applyAlignment="1">
      <alignment horizontal="center" vertical="center" wrapText="1"/>
    </xf>
    <xf numFmtId="0" fontId="114" fillId="0" borderId="149"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48" xfId="0" applyFont="1" applyBorder="1" applyAlignment="1">
      <alignment horizontal="center" vertical="center" wrapText="1"/>
    </xf>
    <xf numFmtId="0" fontId="114" fillId="0" borderId="151" xfId="0" applyFont="1" applyBorder="1" applyAlignment="1">
      <alignment horizontal="center" vertical="center" wrapText="1"/>
    </xf>
    <xf numFmtId="0" fontId="114" fillId="0" borderId="150" xfId="0" applyFont="1" applyBorder="1" applyAlignment="1">
      <alignment horizontal="center" vertical="center" wrapText="1"/>
    </xf>
    <xf numFmtId="0" fontId="122" fillId="0" borderId="148" xfId="0" applyFont="1" applyFill="1" applyBorder="1" applyAlignment="1">
      <alignment horizontal="center" vertical="center"/>
    </xf>
    <xf numFmtId="0" fontId="116" fillId="0" borderId="147" xfId="0" applyFont="1" applyFill="1" applyBorder="1" applyAlignment="1">
      <alignment horizontal="center" vertical="center"/>
    </xf>
    <xf numFmtId="0" fontId="116" fillId="0" borderId="152" xfId="0" applyFont="1" applyFill="1" applyBorder="1" applyAlignment="1">
      <alignment horizontal="center" vertical="center"/>
    </xf>
    <xf numFmtId="0" fontId="116" fillId="0" borderId="53" xfId="0" applyFont="1" applyFill="1" applyBorder="1" applyAlignment="1">
      <alignment horizontal="center" vertical="center"/>
    </xf>
    <xf numFmtId="0" fontId="116" fillId="0" borderId="11" xfId="0" applyFont="1" applyFill="1" applyBorder="1" applyAlignment="1">
      <alignment horizontal="center" vertical="center"/>
    </xf>
    <xf numFmtId="0" fontId="117" fillId="0" borderId="148" xfId="0" applyFont="1" applyFill="1" applyBorder="1" applyAlignment="1">
      <alignment horizontal="center" vertical="center" wrapText="1"/>
    </xf>
    <xf numFmtId="0" fontId="117" fillId="0" borderId="147" xfId="0" applyFont="1" applyFill="1" applyBorder="1" applyAlignment="1">
      <alignment horizontal="center" vertical="center" wrapText="1"/>
    </xf>
    <xf numFmtId="0" fontId="117" fillId="0" borderId="152" xfId="0" applyFont="1" applyFill="1" applyBorder="1" applyAlignment="1">
      <alignment horizontal="center" vertical="center" wrapText="1"/>
    </xf>
    <xf numFmtId="0" fontId="117" fillId="0" borderId="129" xfId="0" applyFont="1" applyFill="1" applyBorder="1" applyAlignment="1">
      <alignment horizontal="center" vertical="center" wrapText="1"/>
    </xf>
    <xf numFmtId="0" fontId="117" fillId="0" borderId="130" xfId="0" applyFont="1" applyFill="1" applyBorder="1" applyAlignment="1">
      <alignment horizontal="center" vertical="center" wrapText="1"/>
    </xf>
    <xf numFmtId="0" fontId="117" fillId="0" borderId="53"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4" fillId="0" borderId="151" xfId="0" applyFont="1" applyFill="1" applyBorder="1" applyAlignment="1">
      <alignment horizontal="center" vertical="center" wrapText="1"/>
    </xf>
    <xf numFmtId="0" fontId="114" fillId="0" borderId="153" xfId="0" applyFont="1" applyFill="1" applyBorder="1" applyAlignment="1">
      <alignment horizontal="center" vertical="center" wrapText="1"/>
    </xf>
    <xf numFmtId="0" fontId="117" fillId="0" borderId="131" xfId="0" applyFont="1" applyFill="1" applyBorder="1" applyAlignment="1">
      <alignment horizontal="center" vertical="center" wrapText="1"/>
    </xf>
    <xf numFmtId="0" fontId="117" fillId="0" borderId="7" xfId="0" applyFont="1" applyFill="1" applyBorder="1" applyAlignment="1">
      <alignment horizontal="center" vertical="center" wrapText="1"/>
    </xf>
    <xf numFmtId="0" fontId="114" fillId="0" borderId="131" xfId="0" applyFont="1" applyFill="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152" xfId="0" applyFont="1" applyFill="1" applyBorder="1" applyAlignment="1">
      <alignment horizontal="center" vertical="center" wrapText="1"/>
    </xf>
    <xf numFmtId="0" fontId="114" fillId="0" borderId="11" xfId="0" applyFont="1" applyBorder="1" applyAlignment="1">
      <alignment horizontal="center" vertical="center" wrapText="1"/>
    </xf>
    <xf numFmtId="0" fontId="114" fillId="0" borderId="156" xfId="0" applyFont="1" applyBorder="1" applyAlignment="1">
      <alignment horizontal="center" vertical="center" wrapText="1"/>
    </xf>
    <xf numFmtId="0" fontId="114" fillId="0" borderId="54" xfId="0" applyFont="1" applyFill="1" applyBorder="1" applyAlignment="1">
      <alignment horizontal="center" vertical="center" wrapText="1"/>
    </xf>
    <xf numFmtId="0" fontId="114" fillId="0" borderId="55" xfId="0" applyFont="1" applyFill="1" applyBorder="1" applyAlignment="1">
      <alignment horizontal="center" vertical="center" wrapText="1"/>
    </xf>
    <xf numFmtId="0" fontId="114" fillId="0" borderId="106" xfId="0" applyFont="1" applyFill="1" applyBorder="1" applyAlignment="1">
      <alignment horizontal="center" vertical="center" wrapText="1"/>
    </xf>
    <xf numFmtId="0" fontId="117" fillId="0" borderId="54" xfId="0" applyNumberFormat="1" applyFont="1" applyFill="1" applyBorder="1" applyAlignment="1">
      <alignment horizontal="left" vertical="top" wrapText="1"/>
    </xf>
    <xf numFmtId="0" fontId="117" fillId="0" borderId="106" xfId="0" applyNumberFormat="1" applyFont="1" applyFill="1" applyBorder="1" applyAlignment="1">
      <alignment horizontal="left" vertical="top" wrapText="1"/>
    </xf>
    <xf numFmtId="0" fontId="117" fillId="0" borderId="63" xfId="0" applyNumberFormat="1" applyFont="1" applyFill="1" applyBorder="1" applyAlignment="1">
      <alignment horizontal="left" vertical="top" wrapText="1"/>
    </xf>
    <xf numFmtId="0" fontId="117" fillId="0" borderId="92" xfId="0" applyNumberFormat="1" applyFont="1" applyFill="1" applyBorder="1" applyAlignment="1">
      <alignment horizontal="left" vertical="top" wrapText="1"/>
    </xf>
    <xf numFmtId="0" fontId="117" fillId="0" borderId="120" xfId="0" applyNumberFormat="1" applyFont="1" applyFill="1" applyBorder="1" applyAlignment="1">
      <alignment horizontal="left" vertical="top" wrapText="1"/>
    </xf>
    <xf numFmtId="0" fontId="117" fillId="0" borderId="158" xfId="0" applyNumberFormat="1" applyFont="1" applyFill="1" applyBorder="1" applyAlignment="1">
      <alignment horizontal="left" vertical="top" wrapText="1"/>
    </xf>
    <xf numFmtId="0" fontId="114" fillId="0" borderId="149" xfId="0" applyFont="1" applyFill="1" applyBorder="1" applyAlignment="1">
      <alignment horizontal="center" vertical="center" wrapText="1"/>
    </xf>
    <xf numFmtId="0" fontId="117" fillId="0" borderId="159" xfId="0" applyFont="1" applyFill="1" applyBorder="1" applyAlignment="1">
      <alignment horizontal="center" vertical="center" wrapText="1"/>
    </xf>
    <xf numFmtId="0" fontId="117" fillId="0" borderId="69" xfId="0" applyFont="1" applyFill="1" applyBorder="1" applyAlignment="1">
      <alignment horizontal="center" vertical="center" wrapText="1"/>
    </xf>
    <xf numFmtId="0" fontId="114" fillId="0" borderId="147" xfId="0" applyFont="1" applyBorder="1" applyAlignment="1">
      <alignment horizontal="center" vertical="top" wrapText="1"/>
    </xf>
    <xf numFmtId="0" fontId="114" fillId="0" borderId="146" xfId="0" applyFont="1" applyBorder="1" applyAlignment="1">
      <alignment horizontal="center" vertical="top" wrapText="1"/>
    </xf>
    <xf numFmtId="0" fontId="114" fillId="0" borderId="147" xfId="0" applyFont="1" applyFill="1" applyBorder="1" applyAlignment="1">
      <alignment horizontal="center" vertical="top" wrapText="1"/>
    </xf>
    <xf numFmtId="0" fontId="114" fillId="0" borderId="153" xfId="0" applyFont="1" applyFill="1" applyBorder="1" applyAlignment="1">
      <alignment horizontal="center" vertical="top" wrapText="1"/>
    </xf>
    <xf numFmtId="0" fontId="114" fillId="0" borderId="150" xfId="0" applyFont="1" applyFill="1" applyBorder="1" applyAlignment="1">
      <alignment horizontal="center" vertical="top" wrapText="1"/>
    </xf>
    <xf numFmtId="0" fontId="103" fillId="0" borderId="132" xfId="0" applyNumberFormat="1" applyFont="1" applyFill="1" applyBorder="1" applyAlignment="1">
      <alignment horizontal="left" vertical="top" wrapText="1"/>
    </xf>
    <xf numFmtId="0" fontId="103" fillId="0" borderId="133" xfId="0" applyNumberFormat="1" applyFont="1" applyFill="1" applyBorder="1" applyAlignment="1">
      <alignment horizontal="left" vertical="top" wrapText="1"/>
    </xf>
    <xf numFmtId="0" fontId="120" fillId="0" borderId="148" xfId="0" applyFont="1" applyBorder="1" applyAlignment="1">
      <alignment horizontal="center" vertical="center"/>
    </xf>
    <xf numFmtId="0" fontId="119" fillId="0" borderId="148" xfId="0" applyFont="1" applyBorder="1" applyAlignment="1">
      <alignment horizontal="center" vertical="center" wrapText="1"/>
    </xf>
    <xf numFmtId="0" fontId="119" fillId="0" borderId="149" xfId="0" applyFont="1" applyBorder="1" applyAlignment="1">
      <alignment horizontal="center" vertical="center" wrapText="1"/>
    </xf>
    <xf numFmtId="0" fontId="103" fillId="76" borderId="151" xfId="0" applyFont="1" applyFill="1" applyBorder="1" applyAlignment="1">
      <alignment horizontal="center" vertical="center" wrapText="1"/>
    </xf>
    <xf numFmtId="0" fontId="103" fillId="76" borderId="150" xfId="0" applyFont="1" applyFill="1" applyBorder="1" applyAlignment="1">
      <alignment horizontal="center" vertical="center" wrapText="1"/>
    </xf>
    <xf numFmtId="0" fontId="104" fillId="0" borderId="151" xfId="0" applyFont="1" applyFill="1" applyBorder="1" applyAlignment="1">
      <alignment horizontal="left" vertical="center" wrapText="1"/>
    </xf>
    <xf numFmtId="0" fontId="104" fillId="0" borderId="150" xfId="0" applyFont="1" applyFill="1" applyBorder="1" applyAlignment="1">
      <alignment horizontal="left" vertical="center" wrapText="1"/>
    </xf>
    <xf numFmtId="0" fontId="104" fillId="0" borderId="151" xfId="13" applyFont="1" applyFill="1" applyBorder="1" applyAlignment="1" applyProtection="1">
      <alignment horizontal="left" vertical="top" wrapText="1"/>
      <protection locked="0"/>
    </xf>
    <xf numFmtId="0" fontId="104" fillId="0" borderId="150" xfId="13" applyFont="1" applyFill="1" applyBorder="1" applyAlignment="1" applyProtection="1">
      <alignment horizontal="left" vertical="top" wrapText="1"/>
      <protection locked="0"/>
    </xf>
    <xf numFmtId="0" fontId="104" fillId="0" borderId="151" xfId="0" applyNumberFormat="1" applyFont="1" applyFill="1" applyBorder="1" applyAlignment="1">
      <alignment horizontal="left" vertical="center" wrapText="1"/>
    </xf>
    <xf numFmtId="0" fontId="104" fillId="0" borderId="150" xfId="0" applyNumberFormat="1" applyFont="1" applyFill="1" applyBorder="1" applyAlignment="1">
      <alignment horizontal="left" vertical="center" wrapText="1"/>
    </xf>
    <xf numFmtId="0" fontId="104" fillId="0" borderId="151" xfId="0" applyNumberFormat="1" applyFont="1" applyFill="1" applyBorder="1" applyAlignment="1">
      <alignment horizontal="left" vertical="top" wrapText="1"/>
    </xf>
    <xf numFmtId="0" fontId="104" fillId="0" borderId="150" xfId="0" applyNumberFormat="1" applyFont="1" applyFill="1" applyBorder="1" applyAlignment="1">
      <alignment horizontal="left" vertical="top" wrapText="1"/>
    </xf>
    <xf numFmtId="49" fontId="104" fillId="0" borderId="0" xfId="0" applyNumberFormat="1" applyFont="1" applyFill="1" applyBorder="1" applyAlignment="1">
      <alignment horizontal="center" vertical="center"/>
    </xf>
    <xf numFmtId="0" fontId="104" fillId="0" borderId="148" xfId="0" applyFont="1" applyFill="1" applyBorder="1" applyAlignment="1">
      <alignment horizontal="left" vertical="top" wrapText="1"/>
    </xf>
    <xf numFmtId="0" fontId="104" fillId="0" borderId="151" xfId="0" applyFont="1" applyFill="1" applyBorder="1" applyAlignment="1">
      <alignment horizontal="left" vertical="top" wrapText="1"/>
    </xf>
    <xf numFmtId="0" fontId="104" fillId="0" borderId="148" xfId="0" applyFont="1" applyFill="1" applyBorder="1" applyAlignment="1">
      <alignment horizontal="left" vertical="center" wrapText="1"/>
    </xf>
    <xf numFmtId="0" fontId="103" fillId="76" borderId="148" xfId="0" applyFont="1" applyFill="1" applyBorder="1" applyAlignment="1">
      <alignment horizontal="center" vertical="center" wrapText="1"/>
    </xf>
    <xf numFmtId="0" fontId="104" fillId="0" borderId="148" xfId="0" applyNumberFormat="1" applyFont="1" applyFill="1" applyBorder="1" applyAlignment="1">
      <alignment horizontal="left" vertical="top" wrapText="1"/>
    </xf>
    <xf numFmtId="0" fontId="104" fillId="0" borderId="148" xfId="0" applyFont="1" applyBorder="1" applyAlignment="1">
      <alignment horizontal="center"/>
    </xf>
    <xf numFmtId="0" fontId="104" fillId="0" borderId="100" xfId="0" applyFont="1" applyFill="1" applyBorder="1" applyAlignment="1">
      <alignment horizontal="left" vertical="center" wrapText="1"/>
    </xf>
    <xf numFmtId="0" fontId="104" fillId="0" borderId="98" xfId="0" applyFont="1" applyFill="1" applyBorder="1" applyAlignment="1">
      <alignment horizontal="left" vertical="center" wrapText="1"/>
    </xf>
    <xf numFmtId="0" fontId="103" fillId="0" borderId="148" xfId="0" applyFont="1" applyFill="1" applyBorder="1" applyAlignment="1">
      <alignment horizontal="center" vertical="center"/>
    </xf>
    <xf numFmtId="0" fontId="104" fillId="3" borderId="151" xfId="13" applyFont="1" applyFill="1" applyBorder="1" applyAlignment="1" applyProtection="1">
      <alignment horizontal="left" vertical="top" wrapText="1"/>
      <protection locked="0"/>
    </xf>
    <xf numFmtId="0" fontId="104" fillId="3" borderId="150" xfId="13" applyFont="1" applyFill="1" applyBorder="1" applyAlignment="1" applyProtection="1">
      <alignment horizontal="left" vertical="top" wrapText="1"/>
      <protection locked="0"/>
    </xf>
    <xf numFmtId="0" fontId="103" fillId="0" borderId="85" xfId="0" applyFont="1" applyFill="1" applyBorder="1" applyAlignment="1">
      <alignment horizontal="center" vertical="center"/>
    </xf>
    <xf numFmtId="0" fontId="103" fillId="76" borderId="82" xfId="0" applyFont="1" applyFill="1" applyBorder="1" applyAlignment="1">
      <alignment horizontal="center" vertical="center" wrapText="1"/>
    </xf>
    <xf numFmtId="0" fontId="103" fillId="76" borderId="0" xfId="0" applyFont="1" applyFill="1" applyBorder="1" applyAlignment="1">
      <alignment horizontal="center" vertical="center" wrapText="1"/>
    </xf>
    <xf numFmtId="0" fontId="103" fillId="76" borderId="83" xfId="0" applyFont="1" applyFill="1" applyBorder="1" applyAlignment="1">
      <alignment horizontal="center" vertical="center" wrapText="1"/>
    </xf>
    <xf numFmtId="0" fontId="104" fillId="77" borderId="100" xfId="0" applyFont="1" applyFill="1" applyBorder="1" applyAlignment="1">
      <alignment vertical="center" wrapText="1"/>
    </xf>
    <xf numFmtId="0" fontId="104" fillId="77" borderId="98" xfId="0" applyFont="1" applyFill="1" applyBorder="1" applyAlignment="1">
      <alignment vertical="center" wrapText="1"/>
    </xf>
    <xf numFmtId="0" fontId="104" fillId="0" borderId="100" xfId="0" applyFont="1" applyFill="1" applyBorder="1" applyAlignment="1">
      <alignment vertical="center" wrapText="1"/>
    </xf>
    <xf numFmtId="0" fontId="104" fillId="0" borderId="98" xfId="0" applyFont="1" applyFill="1" applyBorder="1" applyAlignment="1">
      <alignment vertical="center" wrapText="1"/>
    </xf>
    <xf numFmtId="0" fontId="103" fillId="76" borderId="87" xfId="0" applyFont="1" applyFill="1" applyBorder="1" applyAlignment="1">
      <alignment horizontal="center" vertical="center"/>
    </xf>
    <xf numFmtId="0" fontId="103" fillId="76" borderId="88" xfId="0" applyFont="1" applyFill="1" applyBorder="1" applyAlignment="1">
      <alignment horizontal="center" vertical="center"/>
    </xf>
    <xf numFmtId="0" fontId="103" fillId="76" borderId="89" xfId="0" applyFont="1" applyFill="1" applyBorder="1" applyAlignment="1">
      <alignment horizontal="center" vertical="center"/>
    </xf>
    <xf numFmtId="0" fontId="104" fillId="3" borderId="100" xfId="0" applyFont="1" applyFill="1" applyBorder="1" applyAlignment="1">
      <alignment horizontal="left" vertical="center" wrapText="1"/>
    </xf>
    <xf numFmtId="0" fontId="104" fillId="3" borderId="98" xfId="0" applyFont="1" applyFill="1" applyBorder="1" applyAlignment="1">
      <alignment horizontal="left" vertical="center" wrapText="1"/>
    </xf>
    <xf numFmtId="0" fontId="104" fillId="0" borderId="77" xfId="0" applyFont="1" applyFill="1" applyBorder="1" applyAlignment="1">
      <alignment horizontal="left" vertical="center" wrapText="1"/>
    </xf>
    <xf numFmtId="0" fontId="104" fillId="0" borderId="78" xfId="0" applyFont="1" applyFill="1" applyBorder="1" applyAlignment="1">
      <alignment horizontal="left" vertical="center" wrapText="1"/>
    </xf>
    <xf numFmtId="0" fontId="103" fillId="76" borderId="73" xfId="0" applyFont="1" applyFill="1" applyBorder="1" applyAlignment="1">
      <alignment horizontal="center" vertical="center" wrapText="1"/>
    </xf>
    <xf numFmtId="0" fontId="103" fillId="76" borderId="74" xfId="0" applyFont="1" applyFill="1" applyBorder="1" applyAlignment="1">
      <alignment horizontal="center" vertical="center" wrapText="1"/>
    </xf>
    <xf numFmtId="0" fontId="103" fillId="76" borderId="75" xfId="0" applyFont="1" applyFill="1" applyBorder="1" applyAlignment="1">
      <alignment horizontal="center" vertical="center" wrapText="1"/>
    </xf>
    <xf numFmtId="0" fontId="104" fillId="0" borderId="53" xfId="0" applyFont="1" applyFill="1" applyBorder="1" applyAlignment="1">
      <alignment horizontal="left" vertical="center" wrapText="1"/>
    </xf>
    <xf numFmtId="0" fontId="104" fillId="0" borderId="11" xfId="0" applyFont="1" applyFill="1" applyBorder="1" applyAlignment="1">
      <alignment horizontal="left" vertical="center" wrapText="1"/>
    </xf>
    <xf numFmtId="0" fontId="104" fillId="82" borderId="100" xfId="0" applyFont="1" applyFill="1" applyBorder="1" applyAlignment="1">
      <alignment vertical="center" wrapText="1"/>
    </xf>
    <xf numFmtId="0" fontId="104" fillId="82" borderId="98" xfId="0" applyFont="1" applyFill="1" applyBorder="1" applyAlignment="1">
      <alignment vertical="center" wrapText="1"/>
    </xf>
    <xf numFmtId="0" fontId="104" fillId="82" borderId="141" xfId="0" applyFont="1" applyFill="1" applyBorder="1" applyAlignment="1">
      <alignment horizontal="left" vertical="center" wrapText="1"/>
    </xf>
    <xf numFmtId="0" fontId="104" fillId="82" borderId="142" xfId="0" applyFont="1" applyFill="1" applyBorder="1" applyAlignment="1">
      <alignment horizontal="left" vertical="center" wrapText="1"/>
    </xf>
    <xf numFmtId="0" fontId="104" fillId="82" borderId="143" xfId="0" applyFont="1" applyFill="1" applyBorder="1" applyAlignment="1">
      <alignment horizontal="left" vertical="center" wrapText="1"/>
    </xf>
    <xf numFmtId="0" fontId="104" fillId="3" borderId="77" xfId="0" applyFont="1" applyFill="1" applyBorder="1" applyAlignment="1">
      <alignment horizontal="left" vertical="center" wrapText="1"/>
    </xf>
    <xf numFmtId="0" fontId="104" fillId="3" borderId="78" xfId="0" applyFont="1" applyFill="1" applyBorder="1" applyAlignment="1">
      <alignment horizontal="left" vertical="center" wrapText="1"/>
    </xf>
    <xf numFmtId="0" fontId="104" fillId="82" borderId="80" xfId="0" applyFont="1" applyFill="1" applyBorder="1" applyAlignment="1">
      <alignment horizontal="left" vertical="center" wrapText="1"/>
    </xf>
    <xf numFmtId="0" fontId="104" fillId="82" borderId="81" xfId="0" applyFont="1" applyFill="1" applyBorder="1" applyAlignment="1">
      <alignment horizontal="left" vertical="center" wrapText="1"/>
    </xf>
    <xf numFmtId="0" fontId="104" fillId="82" borderId="53" xfId="0" applyFont="1" applyFill="1" applyBorder="1" applyAlignment="1">
      <alignment vertical="center" wrapText="1"/>
    </xf>
    <xf numFmtId="0" fontId="104" fillId="82" borderId="11" xfId="0" applyFont="1" applyFill="1" applyBorder="1" applyAlignment="1">
      <alignment vertical="center" wrapText="1"/>
    </xf>
    <xf numFmtId="0" fontId="104" fillId="3" borderId="100" xfId="0" applyFont="1" applyFill="1" applyBorder="1" applyAlignment="1">
      <alignment vertical="center" wrapText="1"/>
    </xf>
    <xf numFmtId="0" fontId="104" fillId="3" borderId="98" xfId="0" applyFont="1" applyFill="1" applyBorder="1" applyAlignment="1">
      <alignment vertical="center" wrapText="1"/>
    </xf>
    <xf numFmtId="0" fontId="103" fillId="0" borderId="70" xfId="0" applyFont="1" applyFill="1" applyBorder="1" applyAlignment="1">
      <alignment horizontal="center" vertical="center"/>
    </xf>
    <xf numFmtId="0" fontId="103" fillId="0" borderId="71" xfId="0" applyFont="1" applyFill="1" applyBorder="1" applyAlignment="1">
      <alignment horizontal="center" vertical="center"/>
    </xf>
    <xf numFmtId="0" fontId="103" fillId="0" borderId="72" xfId="0" applyFont="1" applyFill="1" applyBorder="1" applyAlignment="1">
      <alignment horizontal="center" vertical="center"/>
    </xf>
    <xf numFmtId="0" fontId="104" fillId="0" borderId="99" xfId="0" applyFont="1" applyFill="1" applyBorder="1" applyAlignment="1">
      <alignment horizontal="left" vertical="center" wrapText="1"/>
    </xf>
    <xf numFmtId="0" fontId="124" fillId="3" borderId="100" xfId="0" applyFont="1" applyFill="1" applyBorder="1" applyAlignment="1">
      <alignment vertical="center" wrapText="1"/>
    </xf>
    <xf numFmtId="0" fontId="124" fillId="3" borderId="98" xfId="0" applyFont="1" applyFill="1" applyBorder="1" applyAlignment="1">
      <alignment vertical="center" wrapText="1"/>
    </xf>
    <xf numFmtId="0" fontId="104" fillId="0" borderId="100" xfId="0" applyFont="1" applyFill="1" applyBorder="1" applyAlignment="1">
      <alignment horizontal="left"/>
    </xf>
    <xf numFmtId="0" fontId="104" fillId="0" borderId="98" xfId="0" applyFont="1" applyFill="1" applyBorder="1" applyAlignment="1">
      <alignment horizontal="left"/>
    </xf>
  </cellXfs>
  <cellStyles count="21865">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2 3" xfId="21416"/>
    <cellStyle name="Calculation 2 10 3" xfId="724"/>
    <cellStyle name="Calculation 2 10 3 2" xfId="21407"/>
    <cellStyle name="Calculation 2 10 3 3" xfId="21417"/>
    <cellStyle name="Calculation 2 10 4" xfId="725"/>
    <cellStyle name="Calculation 2 10 4 2" xfId="21406"/>
    <cellStyle name="Calculation 2 10 4 3" xfId="21418"/>
    <cellStyle name="Calculation 2 10 5" xfId="726"/>
    <cellStyle name="Calculation 2 10 5 2" xfId="21405"/>
    <cellStyle name="Calculation 2 10 5 3" xfId="21419"/>
    <cellStyle name="Calculation 2 11" xfId="727"/>
    <cellStyle name="Calculation 2 11 2" xfId="728"/>
    <cellStyle name="Calculation 2 11 2 2" xfId="21403"/>
    <cellStyle name="Calculation 2 11 2 3" xfId="21421"/>
    <cellStyle name="Calculation 2 11 3" xfId="729"/>
    <cellStyle name="Calculation 2 11 3 2" xfId="21402"/>
    <cellStyle name="Calculation 2 11 3 3" xfId="21422"/>
    <cellStyle name="Calculation 2 11 4" xfId="730"/>
    <cellStyle name="Calculation 2 11 4 2" xfId="21401"/>
    <cellStyle name="Calculation 2 11 4 3" xfId="21423"/>
    <cellStyle name="Calculation 2 11 5" xfId="731"/>
    <cellStyle name="Calculation 2 11 5 2" xfId="21400"/>
    <cellStyle name="Calculation 2 11 5 3" xfId="21424"/>
    <cellStyle name="Calculation 2 11 6" xfId="21404"/>
    <cellStyle name="Calculation 2 11 7" xfId="21420"/>
    <cellStyle name="Calculation 2 12" xfId="732"/>
    <cellStyle name="Calculation 2 12 2" xfId="733"/>
    <cellStyle name="Calculation 2 12 2 2" xfId="21398"/>
    <cellStyle name="Calculation 2 12 2 3" xfId="21426"/>
    <cellStyle name="Calculation 2 12 3" xfId="734"/>
    <cellStyle name="Calculation 2 12 3 2" xfId="21397"/>
    <cellStyle name="Calculation 2 12 3 3" xfId="21427"/>
    <cellStyle name="Calculation 2 12 4" xfId="735"/>
    <cellStyle name="Calculation 2 12 4 2" xfId="21396"/>
    <cellStyle name="Calculation 2 12 4 3" xfId="21428"/>
    <cellStyle name="Calculation 2 12 5" xfId="736"/>
    <cellStyle name="Calculation 2 12 5 2" xfId="21395"/>
    <cellStyle name="Calculation 2 12 5 3" xfId="21429"/>
    <cellStyle name="Calculation 2 12 6" xfId="21399"/>
    <cellStyle name="Calculation 2 12 7" xfId="21425"/>
    <cellStyle name="Calculation 2 13" xfId="737"/>
    <cellStyle name="Calculation 2 13 2" xfId="738"/>
    <cellStyle name="Calculation 2 13 2 2" xfId="21393"/>
    <cellStyle name="Calculation 2 13 2 3" xfId="21431"/>
    <cellStyle name="Calculation 2 13 3" xfId="739"/>
    <cellStyle name="Calculation 2 13 3 2" xfId="21392"/>
    <cellStyle name="Calculation 2 13 3 3" xfId="21432"/>
    <cellStyle name="Calculation 2 13 4" xfId="740"/>
    <cellStyle name="Calculation 2 13 4 2" xfId="21391"/>
    <cellStyle name="Calculation 2 13 4 3" xfId="21433"/>
    <cellStyle name="Calculation 2 13 5" xfId="21394"/>
    <cellStyle name="Calculation 2 13 6" xfId="21430"/>
    <cellStyle name="Calculation 2 14" xfId="741"/>
    <cellStyle name="Calculation 2 14 2" xfId="21390"/>
    <cellStyle name="Calculation 2 14 3" xfId="21434"/>
    <cellStyle name="Calculation 2 15" xfId="742"/>
    <cellStyle name="Calculation 2 15 2" xfId="21389"/>
    <cellStyle name="Calculation 2 15 3" xfId="21435"/>
    <cellStyle name="Calculation 2 16" xfId="743"/>
    <cellStyle name="Calculation 2 16 2" xfId="21388"/>
    <cellStyle name="Calculation 2 16 3" xfId="21436"/>
    <cellStyle name="Calculation 2 17" xfId="21409"/>
    <cellStyle name="Calculation 2 18" xfId="21415"/>
    <cellStyle name="Calculation 2 2" xfId="744"/>
    <cellStyle name="Calculation 2 2 10" xfId="21387"/>
    <cellStyle name="Calculation 2 2 11" xfId="21437"/>
    <cellStyle name="Calculation 2 2 2" xfId="745"/>
    <cellStyle name="Calculation 2 2 2 2" xfId="746"/>
    <cellStyle name="Calculation 2 2 2 2 2" xfId="21385"/>
    <cellStyle name="Calculation 2 2 2 2 3" xfId="21439"/>
    <cellStyle name="Calculation 2 2 2 3" xfId="747"/>
    <cellStyle name="Calculation 2 2 2 3 2" xfId="21384"/>
    <cellStyle name="Calculation 2 2 2 3 3" xfId="21440"/>
    <cellStyle name="Calculation 2 2 2 4" xfId="748"/>
    <cellStyle name="Calculation 2 2 2 4 2" xfId="21383"/>
    <cellStyle name="Calculation 2 2 2 4 3" xfId="21441"/>
    <cellStyle name="Calculation 2 2 2 5" xfId="21386"/>
    <cellStyle name="Calculation 2 2 2 6" xfId="21438"/>
    <cellStyle name="Calculation 2 2 3" xfId="749"/>
    <cellStyle name="Calculation 2 2 3 2" xfId="750"/>
    <cellStyle name="Calculation 2 2 3 2 2" xfId="21381"/>
    <cellStyle name="Calculation 2 2 3 2 3" xfId="21443"/>
    <cellStyle name="Calculation 2 2 3 3" xfId="751"/>
    <cellStyle name="Calculation 2 2 3 3 2" xfId="21380"/>
    <cellStyle name="Calculation 2 2 3 3 3" xfId="21444"/>
    <cellStyle name="Calculation 2 2 3 4" xfId="752"/>
    <cellStyle name="Calculation 2 2 3 4 2" xfId="21379"/>
    <cellStyle name="Calculation 2 2 3 4 3" xfId="21445"/>
    <cellStyle name="Calculation 2 2 3 5" xfId="21382"/>
    <cellStyle name="Calculation 2 2 3 6" xfId="21442"/>
    <cellStyle name="Calculation 2 2 4" xfId="753"/>
    <cellStyle name="Calculation 2 2 4 2" xfId="754"/>
    <cellStyle name="Calculation 2 2 4 2 2" xfId="21377"/>
    <cellStyle name="Calculation 2 2 4 2 3" xfId="21447"/>
    <cellStyle name="Calculation 2 2 4 3" xfId="755"/>
    <cellStyle name="Calculation 2 2 4 3 2" xfId="21376"/>
    <cellStyle name="Calculation 2 2 4 3 3" xfId="21448"/>
    <cellStyle name="Calculation 2 2 4 4" xfId="756"/>
    <cellStyle name="Calculation 2 2 4 4 2" xfId="21375"/>
    <cellStyle name="Calculation 2 2 4 4 3" xfId="21449"/>
    <cellStyle name="Calculation 2 2 4 5" xfId="21378"/>
    <cellStyle name="Calculation 2 2 4 6" xfId="21446"/>
    <cellStyle name="Calculation 2 2 5" xfId="757"/>
    <cellStyle name="Calculation 2 2 5 2" xfId="758"/>
    <cellStyle name="Calculation 2 2 5 2 2" xfId="21373"/>
    <cellStyle name="Calculation 2 2 5 2 3" xfId="21451"/>
    <cellStyle name="Calculation 2 2 5 3" xfId="759"/>
    <cellStyle name="Calculation 2 2 5 3 2" xfId="21372"/>
    <cellStyle name="Calculation 2 2 5 3 3" xfId="21452"/>
    <cellStyle name="Calculation 2 2 5 4" xfId="760"/>
    <cellStyle name="Calculation 2 2 5 4 2" xfId="21371"/>
    <cellStyle name="Calculation 2 2 5 4 3" xfId="21453"/>
    <cellStyle name="Calculation 2 2 5 5" xfId="21374"/>
    <cellStyle name="Calculation 2 2 5 6" xfId="21450"/>
    <cellStyle name="Calculation 2 2 6" xfId="761"/>
    <cellStyle name="Calculation 2 2 6 2" xfId="21370"/>
    <cellStyle name="Calculation 2 2 6 3" xfId="21454"/>
    <cellStyle name="Calculation 2 2 7" xfId="762"/>
    <cellStyle name="Calculation 2 2 7 2" xfId="21369"/>
    <cellStyle name="Calculation 2 2 7 3" xfId="21455"/>
    <cellStyle name="Calculation 2 2 8" xfId="763"/>
    <cellStyle name="Calculation 2 2 8 2" xfId="21368"/>
    <cellStyle name="Calculation 2 2 8 3" xfId="21456"/>
    <cellStyle name="Calculation 2 2 9" xfId="764"/>
    <cellStyle name="Calculation 2 2 9 2" xfId="21367"/>
    <cellStyle name="Calculation 2 2 9 3" xfId="21457"/>
    <cellStyle name="Calculation 2 3" xfId="765"/>
    <cellStyle name="Calculation 2 3 2" xfId="766"/>
    <cellStyle name="Calculation 2 3 2 2" xfId="21366"/>
    <cellStyle name="Calculation 2 3 2 3" xfId="21458"/>
    <cellStyle name="Calculation 2 3 3" xfId="767"/>
    <cellStyle name="Calculation 2 3 3 2" xfId="21365"/>
    <cellStyle name="Calculation 2 3 3 3" xfId="21459"/>
    <cellStyle name="Calculation 2 3 4" xfId="768"/>
    <cellStyle name="Calculation 2 3 4 2" xfId="21364"/>
    <cellStyle name="Calculation 2 3 4 3" xfId="21460"/>
    <cellStyle name="Calculation 2 3 5" xfId="769"/>
    <cellStyle name="Calculation 2 3 5 2" xfId="21363"/>
    <cellStyle name="Calculation 2 3 5 3" xfId="21461"/>
    <cellStyle name="Calculation 2 4" xfId="770"/>
    <cellStyle name="Calculation 2 4 2" xfId="771"/>
    <cellStyle name="Calculation 2 4 2 2" xfId="21362"/>
    <cellStyle name="Calculation 2 4 2 3" xfId="21462"/>
    <cellStyle name="Calculation 2 4 3" xfId="772"/>
    <cellStyle name="Calculation 2 4 3 2" xfId="21361"/>
    <cellStyle name="Calculation 2 4 3 3" xfId="21463"/>
    <cellStyle name="Calculation 2 4 4" xfId="773"/>
    <cellStyle name="Calculation 2 4 4 2" xfId="21360"/>
    <cellStyle name="Calculation 2 4 4 3" xfId="21464"/>
    <cellStyle name="Calculation 2 4 5" xfId="774"/>
    <cellStyle name="Calculation 2 4 5 2" xfId="21359"/>
    <cellStyle name="Calculation 2 4 5 3" xfId="21465"/>
    <cellStyle name="Calculation 2 5" xfId="775"/>
    <cellStyle name="Calculation 2 5 2" xfId="776"/>
    <cellStyle name="Calculation 2 5 2 2" xfId="21358"/>
    <cellStyle name="Calculation 2 5 2 3" xfId="21466"/>
    <cellStyle name="Calculation 2 5 3" xfId="777"/>
    <cellStyle name="Calculation 2 5 3 2" xfId="21357"/>
    <cellStyle name="Calculation 2 5 3 3" xfId="21467"/>
    <cellStyle name="Calculation 2 5 4" xfId="778"/>
    <cellStyle name="Calculation 2 5 4 2" xfId="21356"/>
    <cellStyle name="Calculation 2 5 4 3" xfId="21468"/>
    <cellStyle name="Calculation 2 5 5" xfId="779"/>
    <cellStyle name="Calculation 2 5 5 2" xfId="21355"/>
    <cellStyle name="Calculation 2 5 5 3" xfId="21469"/>
    <cellStyle name="Calculation 2 6" xfId="780"/>
    <cellStyle name="Calculation 2 6 2" xfId="781"/>
    <cellStyle name="Calculation 2 6 2 2" xfId="21354"/>
    <cellStyle name="Calculation 2 6 2 3" xfId="21470"/>
    <cellStyle name="Calculation 2 6 3" xfId="782"/>
    <cellStyle name="Calculation 2 6 3 2" xfId="21353"/>
    <cellStyle name="Calculation 2 6 3 3" xfId="21471"/>
    <cellStyle name="Calculation 2 6 4" xfId="783"/>
    <cellStyle name="Calculation 2 6 4 2" xfId="21352"/>
    <cellStyle name="Calculation 2 6 4 3" xfId="21472"/>
    <cellStyle name="Calculation 2 6 5" xfId="784"/>
    <cellStyle name="Calculation 2 6 5 2" xfId="21351"/>
    <cellStyle name="Calculation 2 6 5 3" xfId="21473"/>
    <cellStyle name="Calculation 2 7" xfId="785"/>
    <cellStyle name="Calculation 2 7 2" xfId="786"/>
    <cellStyle name="Calculation 2 7 2 2" xfId="21350"/>
    <cellStyle name="Calculation 2 7 2 3" xfId="21474"/>
    <cellStyle name="Calculation 2 7 3" xfId="787"/>
    <cellStyle name="Calculation 2 7 3 2" xfId="21349"/>
    <cellStyle name="Calculation 2 7 3 3" xfId="21475"/>
    <cellStyle name="Calculation 2 7 4" xfId="788"/>
    <cellStyle name="Calculation 2 7 4 2" xfId="21348"/>
    <cellStyle name="Calculation 2 7 4 3" xfId="21476"/>
    <cellStyle name="Calculation 2 7 5" xfId="789"/>
    <cellStyle name="Calculation 2 7 5 2" xfId="21347"/>
    <cellStyle name="Calculation 2 7 5 3" xfId="21477"/>
    <cellStyle name="Calculation 2 8" xfId="790"/>
    <cellStyle name="Calculation 2 8 2" xfId="791"/>
    <cellStyle name="Calculation 2 8 2 2" xfId="21346"/>
    <cellStyle name="Calculation 2 8 2 3" xfId="21478"/>
    <cellStyle name="Calculation 2 8 3" xfId="792"/>
    <cellStyle name="Calculation 2 8 3 2" xfId="21345"/>
    <cellStyle name="Calculation 2 8 3 3" xfId="21479"/>
    <cellStyle name="Calculation 2 8 4" xfId="793"/>
    <cellStyle name="Calculation 2 8 4 2" xfId="21344"/>
    <cellStyle name="Calculation 2 8 4 3" xfId="21480"/>
    <cellStyle name="Calculation 2 8 5" xfId="794"/>
    <cellStyle name="Calculation 2 8 5 2" xfId="21343"/>
    <cellStyle name="Calculation 2 8 5 3" xfId="21481"/>
    <cellStyle name="Calculation 2 9" xfId="795"/>
    <cellStyle name="Calculation 2 9 2" xfId="796"/>
    <cellStyle name="Calculation 2 9 2 2" xfId="21342"/>
    <cellStyle name="Calculation 2 9 2 3" xfId="21482"/>
    <cellStyle name="Calculation 2 9 3" xfId="797"/>
    <cellStyle name="Calculation 2 9 3 2" xfId="21341"/>
    <cellStyle name="Calculation 2 9 3 3" xfId="21483"/>
    <cellStyle name="Calculation 2 9 4" xfId="798"/>
    <cellStyle name="Calculation 2 9 4 2" xfId="21340"/>
    <cellStyle name="Calculation 2 9 4 3" xfId="21484"/>
    <cellStyle name="Calculation 2 9 5" xfId="799"/>
    <cellStyle name="Calculation 2 9 5 2" xfId="21339"/>
    <cellStyle name="Calculation 2 9 5 3" xfId="21485"/>
    <cellStyle name="Calculation 3" xfId="800"/>
    <cellStyle name="Calculation 3 2" xfId="801"/>
    <cellStyle name="Calculation 3 2 2" xfId="21337"/>
    <cellStyle name="Calculation 3 2 3" xfId="21487"/>
    <cellStyle name="Calculation 3 3" xfId="802"/>
    <cellStyle name="Calculation 3 3 2" xfId="21336"/>
    <cellStyle name="Calculation 3 3 3" xfId="21488"/>
    <cellStyle name="Calculation 3 4" xfId="21338"/>
    <cellStyle name="Calculation 3 5" xfId="21486"/>
    <cellStyle name="Calculation 4" xfId="803"/>
    <cellStyle name="Calculation 4 2" xfId="804"/>
    <cellStyle name="Calculation 4 2 2" xfId="21334"/>
    <cellStyle name="Calculation 4 2 3" xfId="21490"/>
    <cellStyle name="Calculation 4 3" xfId="805"/>
    <cellStyle name="Calculation 4 3 2" xfId="21333"/>
    <cellStyle name="Calculation 4 3 3" xfId="21491"/>
    <cellStyle name="Calculation 4 4" xfId="21335"/>
    <cellStyle name="Calculation 4 5" xfId="21489"/>
    <cellStyle name="Calculation 5" xfId="806"/>
    <cellStyle name="Calculation 5 2" xfId="807"/>
    <cellStyle name="Calculation 5 2 2" xfId="21331"/>
    <cellStyle name="Calculation 5 2 3" xfId="21493"/>
    <cellStyle name="Calculation 5 3" xfId="808"/>
    <cellStyle name="Calculation 5 3 2" xfId="21330"/>
    <cellStyle name="Calculation 5 3 3" xfId="21494"/>
    <cellStyle name="Calculation 5 4" xfId="21332"/>
    <cellStyle name="Calculation 5 5" xfId="21492"/>
    <cellStyle name="Calculation 6" xfId="809"/>
    <cellStyle name="Calculation 6 2" xfId="810"/>
    <cellStyle name="Calculation 6 2 2" xfId="21328"/>
    <cellStyle name="Calculation 6 2 3" xfId="21496"/>
    <cellStyle name="Calculation 6 3" xfId="811"/>
    <cellStyle name="Calculation 6 3 2" xfId="21327"/>
    <cellStyle name="Calculation 6 3 3" xfId="21497"/>
    <cellStyle name="Calculation 6 4" xfId="21329"/>
    <cellStyle name="Calculation 6 5" xfId="21495"/>
    <cellStyle name="Calculation 7" xfId="812"/>
    <cellStyle name="Calculation 7 2" xfId="21326"/>
    <cellStyle name="Calculation 7 3" xfId="21498"/>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2 8" xfId="21864"/>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0 3" xfId="21500"/>
    <cellStyle name="Gia's 11" xfId="21325"/>
    <cellStyle name="Gia's 12" xfId="21499"/>
    <cellStyle name="Gia's 2" xfId="9187"/>
    <cellStyle name="Gia's 2 2" xfId="21323"/>
    <cellStyle name="Gia's 2 3" xfId="21501"/>
    <cellStyle name="Gia's 3" xfId="9188"/>
    <cellStyle name="Gia's 3 2" xfId="21322"/>
    <cellStyle name="Gia's 3 3" xfId="21502"/>
    <cellStyle name="Gia's 4" xfId="9189"/>
    <cellStyle name="Gia's 4 2" xfId="21321"/>
    <cellStyle name="Gia's 4 3" xfId="21503"/>
    <cellStyle name="Gia's 5" xfId="9190"/>
    <cellStyle name="Gia's 5 2" xfId="21320"/>
    <cellStyle name="Gia's 5 3" xfId="21504"/>
    <cellStyle name="Gia's 6" xfId="9191"/>
    <cellStyle name="Gia's 6 2" xfId="21319"/>
    <cellStyle name="Gia's 6 3" xfId="21505"/>
    <cellStyle name="Gia's 7" xfId="9192"/>
    <cellStyle name="Gia's 7 2" xfId="21318"/>
    <cellStyle name="Gia's 7 3" xfId="21506"/>
    <cellStyle name="Gia's 8" xfId="9193"/>
    <cellStyle name="Gia's 8 2" xfId="21317"/>
    <cellStyle name="Gia's 8 3" xfId="21507"/>
    <cellStyle name="Gia's 9" xfId="9194"/>
    <cellStyle name="Gia's 9 2" xfId="21316"/>
    <cellStyle name="Gia's 9 3" xfId="21508"/>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greyed 3" xfId="21509"/>
    <cellStyle name="Header1" xfId="9222"/>
    <cellStyle name="Header1 2" xfId="9223"/>
    <cellStyle name="Header1 3" xfId="9224"/>
    <cellStyle name="Header2" xfId="9225"/>
    <cellStyle name="Header2 2" xfId="9226"/>
    <cellStyle name="Header2 2 2" xfId="21313"/>
    <cellStyle name="Header2 2 3" xfId="21511"/>
    <cellStyle name="Header2 3" xfId="9227"/>
    <cellStyle name="Header2 3 2" xfId="21312"/>
    <cellStyle name="Header2 3 3" xfId="21512"/>
    <cellStyle name="Header2 4" xfId="21314"/>
    <cellStyle name="Header2 5" xfId="21510"/>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eadingTable 3" xfId="21513"/>
    <cellStyle name="highlightExposure" xfId="9323"/>
    <cellStyle name="highlightExposure 2" xfId="21310"/>
    <cellStyle name="highlightExposure 3" xfId="21514"/>
    <cellStyle name="highlightPercentage" xfId="9324"/>
    <cellStyle name="highlightPercentage 2" xfId="21309"/>
    <cellStyle name="highlightPercentage 3" xfId="21515"/>
    <cellStyle name="highlightText" xfId="9325"/>
    <cellStyle name="highlightText 2" xfId="21308"/>
    <cellStyle name="highlightText 3" xfId="21516"/>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2 3" xfId="21518"/>
    <cellStyle name="Input 2 10 3" xfId="9336"/>
    <cellStyle name="Input 2 10 3 2" xfId="21305"/>
    <cellStyle name="Input 2 10 3 3" xfId="21519"/>
    <cellStyle name="Input 2 10 4" xfId="9337"/>
    <cellStyle name="Input 2 10 4 2" xfId="21304"/>
    <cellStyle name="Input 2 10 4 3" xfId="21520"/>
    <cellStyle name="Input 2 10 5" xfId="9338"/>
    <cellStyle name="Input 2 10 5 2" xfId="21303"/>
    <cellStyle name="Input 2 10 5 3" xfId="21521"/>
    <cellStyle name="Input 2 11" xfId="9339"/>
    <cellStyle name="Input 2 11 2" xfId="9340"/>
    <cellStyle name="Input 2 11 2 2" xfId="21301"/>
    <cellStyle name="Input 2 11 2 3" xfId="21523"/>
    <cellStyle name="Input 2 11 3" xfId="9341"/>
    <cellStyle name="Input 2 11 3 2" xfId="21300"/>
    <cellStyle name="Input 2 11 3 3" xfId="21524"/>
    <cellStyle name="Input 2 11 4" xfId="9342"/>
    <cellStyle name="Input 2 11 4 2" xfId="21299"/>
    <cellStyle name="Input 2 11 4 3" xfId="21525"/>
    <cellStyle name="Input 2 11 5" xfId="9343"/>
    <cellStyle name="Input 2 11 5 2" xfId="21298"/>
    <cellStyle name="Input 2 11 5 3" xfId="21526"/>
    <cellStyle name="Input 2 11 6" xfId="21302"/>
    <cellStyle name="Input 2 11 7" xfId="21522"/>
    <cellStyle name="Input 2 12" xfId="9344"/>
    <cellStyle name="Input 2 12 2" xfId="9345"/>
    <cellStyle name="Input 2 12 2 2" xfId="21296"/>
    <cellStyle name="Input 2 12 2 3" xfId="21528"/>
    <cellStyle name="Input 2 12 3" xfId="9346"/>
    <cellStyle name="Input 2 12 3 2" xfId="21295"/>
    <cellStyle name="Input 2 12 3 3" xfId="21529"/>
    <cellStyle name="Input 2 12 4" xfId="9347"/>
    <cellStyle name="Input 2 12 4 2" xfId="21294"/>
    <cellStyle name="Input 2 12 4 3" xfId="21530"/>
    <cellStyle name="Input 2 12 5" xfId="9348"/>
    <cellStyle name="Input 2 12 5 2" xfId="21293"/>
    <cellStyle name="Input 2 12 5 3" xfId="21531"/>
    <cellStyle name="Input 2 12 6" xfId="21297"/>
    <cellStyle name="Input 2 12 7" xfId="21527"/>
    <cellStyle name="Input 2 13" xfId="9349"/>
    <cellStyle name="Input 2 13 2" xfId="9350"/>
    <cellStyle name="Input 2 13 2 2" xfId="21291"/>
    <cellStyle name="Input 2 13 2 3" xfId="21533"/>
    <cellStyle name="Input 2 13 3" xfId="9351"/>
    <cellStyle name="Input 2 13 3 2" xfId="21290"/>
    <cellStyle name="Input 2 13 3 3" xfId="21534"/>
    <cellStyle name="Input 2 13 4" xfId="9352"/>
    <cellStyle name="Input 2 13 4 2" xfId="21289"/>
    <cellStyle name="Input 2 13 4 3" xfId="21535"/>
    <cellStyle name="Input 2 13 5" xfId="21292"/>
    <cellStyle name="Input 2 13 6" xfId="21532"/>
    <cellStyle name="Input 2 14" xfId="9353"/>
    <cellStyle name="Input 2 14 2" xfId="21288"/>
    <cellStyle name="Input 2 14 3" xfId="21536"/>
    <cellStyle name="Input 2 15" xfId="9354"/>
    <cellStyle name="Input 2 15 2" xfId="21287"/>
    <cellStyle name="Input 2 15 3" xfId="21537"/>
    <cellStyle name="Input 2 16" xfId="9355"/>
    <cellStyle name="Input 2 16 2" xfId="21286"/>
    <cellStyle name="Input 2 16 3" xfId="21538"/>
    <cellStyle name="Input 2 17" xfId="21307"/>
    <cellStyle name="Input 2 18" xfId="21517"/>
    <cellStyle name="Input 2 2" xfId="9356"/>
    <cellStyle name="Input 2 2 10" xfId="21285"/>
    <cellStyle name="Input 2 2 11" xfId="21539"/>
    <cellStyle name="Input 2 2 2" xfId="9357"/>
    <cellStyle name="Input 2 2 2 2" xfId="9358"/>
    <cellStyle name="Input 2 2 2 2 2" xfId="21283"/>
    <cellStyle name="Input 2 2 2 2 3" xfId="21541"/>
    <cellStyle name="Input 2 2 2 3" xfId="9359"/>
    <cellStyle name="Input 2 2 2 3 2" xfId="21282"/>
    <cellStyle name="Input 2 2 2 3 3" xfId="21542"/>
    <cellStyle name="Input 2 2 2 4" xfId="9360"/>
    <cellStyle name="Input 2 2 2 4 2" xfId="21281"/>
    <cellStyle name="Input 2 2 2 4 3" xfId="21543"/>
    <cellStyle name="Input 2 2 2 5" xfId="21284"/>
    <cellStyle name="Input 2 2 2 6" xfId="21540"/>
    <cellStyle name="Input 2 2 3" xfId="9361"/>
    <cellStyle name="Input 2 2 3 2" xfId="9362"/>
    <cellStyle name="Input 2 2 3 2 2" xfId="21279"/>
    <cellStyle name="Input 2 2 3 2 3" xfId="21545"/>
    <cellStyle name="Input 2 2 3 3" xfId="9363"/>
    <cellStyle name="Input 2 2 3 3 2" xfId="21278"/>
    <cellStyle name="Input 2 2 3 3 3" xfId="21546"/>
    <cellStyle name="Input 2 2 3 4" xfId="9364"/>
    <cellStyle name="Input 2 2 3 4 2" xfId="21277"/>
    <cellStyle name="Input 2 2 3 4 3" xfId="21547"/>
    <cellStyle name="Input 2 2 3 5" xfId="21280"/>
    <cellStyle name="Input 2 2 3 6" xfId="21544"/>
    <cellStyle name="Input 2 2 4" xfId="9365"/>
    <cellStyle name="Input 2 2 4 2" xfId="9366"/>
    <cellStyle name="Input 2 2 4 2 2" xfId="21275"/>
    <cellStyle name="Input 2 2 4 2 3" xfId="21549"/>
    <cellStyle name="Input 2 2 4 3" xfId="9367"/>
    <cellStyle name="Input 2 2 4 3 2" xfId="21274"/>
    <cellStyle name="Input 2 2 4 3 3" xfId="21550"/>
    <cellStyle name="Input 2 2 4 4" xfId="9368"/>
    <cellStyle name="Input 2 2 4 4 2" xfId="21273"/>
    <cellStyle name="Input 2 2 4 4 3" xfId="21551"/>
    <cellStyle name="Input 2 2 4 5" xfId="21276"/>
    <cellStyle name="Input 2 2 4 6" xfId="21548"/>
    <cellStyle name="Input 2 2 5" xfId="9369"/>
    <cellStyle name="Input 2 2 5 2" xfId="9370"/>
    <cellStyle name="Input 2 2 5 2 2" xfId="21271"/>
    <cellStyle name="Input 2 2 5 2 3" xfId="21553"/>
    <cellStyle name="Input 2 2 5 3" xfId="9371"/>
    <cellStyle name="Input 2 2 5 3 2" xfId="21270"/>
    <cellStyle name="Input 2 2 5 3 3" xfId="21554"/>
    <cellStyle name="Input 2 2 5 4" xfId="9372"/>
    <cellStyle name="Input 2 2 5 4 2" xfId="21269"/>
    <cellStyle name="Input 2 2 5 4 3" xfId="21555"/>
    <cellStyle name="Input 2 2 5 5" xfId="21272"/>
    <cellStyle name="Input 2 2 5 6" xfId="21552"/>
    <cellStyle name="Input 2 2 6" xfId="9373"/>
    <cellStyle name="Input 2 2 6 2" xfId="21268"/>
    <cellStyle name="Input 2 2 6 3" xfId="21556"/>
    <cellStyle name="Input 2 2 7" xfId="9374"/>
    <cellStyle name="Input 2 2 7 2" xfId="21267"/>
    <cellStyle name="Input 2 2 7 3" xfId="21557"/>
    <cellStyle name="Input 2 2 8" xfId="9375"/>
    <cellStyle name="Input 2 2 8 2" xfId="21266"/>
    <cellStyle name="Input 2 2 8 3" xfId="21558"/>
    <cellStyle name="Input 2 2 9" xfId="9376"/>
    <cellStyle name="Input 2 2 9 2" xfId="21265"/>
    <cellStyle name="Input 2 2 9 3" xfId="21559"/>
    <cellStyle name="Input 2 3" xfId="9377"/>
    <cellStyle name="Input 2 3 2" xfId="9378"/>
    <cellStyle name="Input 2 3 2 2" xfId="21264"/>
    <cellStyle name="Input 2 3 2 3" xfId="21560"/>
    <cellStyle name="Input 2 3 3" xfId="9379"/>
    <cellStyle name="Input 2 3 3 2" xfId="21263"/>
    <cellStyle name="Input 2 3 3 3" xfId="21561"/>
    <cellStyle name="Input 2 3 4" xfId="9380"/>
    <cellStyle name="Input 2 3 4 2" xfId="21262"/>
    <cellStyle name="Input 2 3 4 3" xfId="21562"/>
    <cellStyle name="Input 2 3 5" xfId="9381"/>
    <cellStyle name="Input 2 3 5 2" xfId="21261"/>
    <cellStyle name="Input 2 3 5 3" xfId="21563"/>
    <cellStyle name="Input 2 4" xfId="9382"/>
    <cellStyle name="Input 2 4 2" xfId="9383"/>
    <cellStyle name="Input 2 4 2 2" xfId="21260"/>
    <cellStyle name="Input 2 4 2 3" xfId="21564"/>
    <cellStyle name="Input 2 4 3" xfId="9384"/>
    <cellStyle name="Input 2 4 3 2" xfId="21259"/>
    <cellStyle name="Input 2 4 3 3" xfId="21565"/>
    <cellStyle name="Input 2 4 4" xfId="9385"/>
    <cellStyle name="Input 2 4 4 2" xfId="21258"/>
    <cellStyle name="Input 2 4 4 3" xfId="21566"/>
    <cellStyle name="Input 2 4 5" xfId="9386"/>
    <cellStyle name="Input 2 4 5 2" xfId="21257"/>
    <cellStyle name="Input 2 4 5 3" xfId="21567"/>
    <cellStyle name="Input 2 5" xfId="9387"/>
    <cellStyle name="Input 2 5 2" xfId="9388"/>
    <cellStyle name="Input 2 5 2 2" xfId="21256"/>
    <cellStyle name="Input 2 5 2 3" xfId="21568"/>
    <cellStyle name="Input 2 5 3" xfId="9389"/>
    <cellStyle name="Input 2 5 3 2" xfId="21255"/>
    <cellStyle name="Input 2 5 3 3" xfId="21569"/>
    <cellStyle name="Input 2 5 4" xfId="9390"/>
    <cellStyle name="Input 2 5 4 2" xfId="21254"/>
    <cellStyle name="Input 2 5 4 3" xfId="21570"/>
    <cellStyle name="Input 2 5 5" xfId="9391"/>
    <cellStyle name="Input 2 5 5 2" xfId="21253"/>
    <cellStyle name="Input 2 5 5 3" xfId="21571"/>
    <cellStyle name="Input 2 6" xfId="9392"/>
    <cellStyle name="Input 2 6 2" xfId="9393"/>
    <cellStyle name="Input 2 6 2 2" xfId="21252"/>
    <cellStyle name="Input 2 6 2 3" xfId="21572"/>
    <cellStyle name="Input 2 6 3" xfId="9394"/>
    <cellStyle name="Input 2 6 3 2" xfId="21251"/>
    <cellStyle name="Input 2 6 3 3" xfId="21573"/>
    <cellStyle name="Input 2 6 4" xfId="9395"/>
    <cellStyle name="Input 2 6 4 2" xfId="21250"/>
    <cellStyle name="Input 2 6 4 3" xfId="21574"/>
    <cellStyle name="Input 2 6 5" xfId="9396"/>
    <cellStyle name="Input 2 6 5 2" xfId="21249"/>
    <cellStyle name="Input 2 6 5 3" xfId="21575"/>
    <cellStyle name="Input 2 7" xfId="9397"/>
    <cellStyle name="Input 2 7 2" xfId="9398"/>
    <cellStyle name="Input 2 7 2 2" xfId="21248"/>
    <cellStyle name="Input 2 7 2 3" xfId="21576"/>
    <cellStyle name="Input 2 7 3" xfId="9399"/>
    <cellStyle name="Input 2 7 3 2" xfId="21247"/>
    <cellStyle name="Input 2 7 3 3" xfId="21577"/>
    <cellStyle name="Input 2 7 4" xfId="9400"/>
    <cellStyle name="Input 2 7 4 2" xfId="21246"/>
    <cellStyle name="Input 2 7 4 3" xfId="21578"/>
    <cellStyle name="Input 2 7 5" xfId="9401"/>
    <cellStyle name="Input 2 7 5 2" xfId="21245"/>
    <cellStyle name="Input 2 7 5 3" xfId="21579"/>
    <cellStyle name="Input 2 8" xfId="9402"/>
    <cellStyle name="Input 2 8 2" xfId="9403"/>
    <cellStyle name="Input 2 8 2 2" xfId="21244"/>
    <cellStyle name="Input 2 8 2 3" xfId="21580"/>
    <cellStyle name="Input 2 8 3" xfId="9404"/>
    <cellStyle name="Input 2 8 3 2" xfId="21243"/>
    <cellStyle name="Input 2 8 3 3" xfId="21581"/>
    <cellStyle name="Input 2 8 4" xfId="9405"/>
    <cellStyle name="Input 2 8 4 2" xfId="21242"/>
    <cellStyle name="Input 2 8 4 3" xfId="21582"/>
    <cellStyle name="Input 2 8 5" xfId="9406"/>
    <cellStyle name="Input 2 8 5 2" xfId="21241"/>
    <cellStyle name="Input 2 8 5 3" xfId="21583"/>
    <cellStyle name="Input 2 9" xfId="9407"/>
    <cellStyle name="Input 2 9 2" xfId="9408"/>
    <cellStyle name="Input 2 9 2 2" xfId="21240"/>
    <cellStyle name="Input 2 9 2 3" xfId="21584"/>
    <cellStyle name="Input 2 9 3" xfId="9409"/>
    <cellStyle name="Input 2 9 3 2" xfId="21239"/>
    <cellStyle name="Input 2 9 3 3" xfId="21585"/>
    <cellStyle name="Input 2 9 4" xfId="9410"/>
    <cellStyle name="Input 2 9 4 2" xfId="21238"/>
    <cellStyle name="Input 2 9 4 3" xfId="21586"/>
    <cellStyle name="Input 2 9 5" xfId="9411"/>
    <cellStyle name="Input 2 9 5 2" xfId="21237"/>
    <cellStyle name="Input 2 9 5 3" xfId="21587"/>
    <cellStyle name="Input 3" xfId="9412"/>
    <cellStyle name="Input 3 2" xfId="9413"/>
    <cellStyle name="Input 3 2 2" xfId="21235"/>
    <cellStyle name="Input 3 2 3" xfId="21589"/>
    <cellStyle name="Input 3 3" xfId="9414"/>
    <cellStyle name="Input 3 3 2" xfId="21234"/>
    <cellStyle name="Input 3 3 3" xfId="21590"/>
    <cellStyle name="Input 3 4" xfId="21236"/>
    <cellStyle name="Input 3 5" xfId="21588"/>
    <cellStyle name="Input 4" xfId="9415"/>
    <cellStyle name="Input 4 2" xfId="9416"/>
    <cellStyle name="Input 4 2 2" xfId="21232"/>
    <cellStyle name="Input 4 2 3" xfId="21592"/>
    <cellStyle name="Input 4 3" xfId="9417"/>
    <cellStyle name="Input 4 3 2" xfId="21231"/>
    <cellStyle name="Input 4 3 3" xfId="21593"/>
    <cellStyle name="Input 4 4" xfId="21233"/>
    <cellStyle name="Input 4 5" xfId="21591"/>
    <cellStyle name="Input 5" xfId="9418"/>
    <cellStyle name="Input 5 2" xfId="9419"/>
    <cellStyle name="Input 5 2 2" xfId="21229"/>
    <cellStyle name="Input 5 2 3" xfId="21595"/>
    <cellStyle name="Input 5 3" xfId="9420"/>
    <cellStyle name="Input 5 3 2" xfId="21228"/>
    <cellStyle name="Input 5 3 3" xfId="21596"/>
    <cellStyle name="Input 5 4" xfId="21230"/>
    <cellStyle name="Input 5 5" xfId="21594"/>
    <cellStyle name="Input 6" xfId="9421"/>
    <cellStyle name="Input 6 2" xfId="9422"/>
    <cellStyle name="Input 6 2 2" xfId="21226"/>
    <cellStyle name="Input 6 2 3" xfId="21598"/>
    <cellStyle name="Input 6 3" xfId="9423"/>
    <cellStyle name="Input 6 3 2" xfId="21225"/>
    <cellStyle name="Input 6 3 3" xfId="21599"/>
    <cellStyle name="Input 6 4" xfId="21227"/>
    <cellStyle name="Input 6 5" xfId="21597"/>
    <cellStyle name="Input 7" xfId="9424"/>
    <cellStyle name="Input 7 2" xfId="21224"/>
    <cellStyle name="Input 7 3" xfId="21600"/>
    <cellStyle name="inputExposure" xfId="9425"/>
    <cellStyle name="inputExposure 2" xfId="21223"/>
    <cellStyle name="inputExposure 3" xfId="21601"/>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24" xfId="21863"/>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2 3" xfId="21603"/>
    <cellStyle name="Note 2 10 3" xfId="20386"/>
    <cellStyle name="Note 2 10 3 2" xfId="21220"/>
    <cellStyle name="Note 2 10 3 3" xfId="21604"/>
    <cellStyle name="Note 2 10 4" xfId="20387"/>
    <cellStyle name="Note 2 10 4 2" xfId="21219"/>
    <cellStyle name="Note 2 10 4 3" xfId="21605"/>
    <cellStyle name="Note 2 10 5" xfId="20388"/>
    <cellStyle name="Note 2 10 5 2" xfId="21218"/>
    <cellStyle name="Note 2 10 5 3" xfId="21606"/>
    <cellStyle name="Note 2 11" xfId="20389"/>
    <cellStyle name="Note 2 11 2" xfId="20390"/>
    <cellStyle name="Note 2 11 2 2" xfId="21217"/>
    <cellStyle name="Note 2 11 2 3" xfId="21607"/>
    <cellStyle name="Note 2 11 3" xfId="20391"/>
    <cellStyle name="Note 2 11 3 2" xfId="21216"/>
    <cellStyle name="Note 2 11 3 3" xfId="21608"/>
    <cellStyle name="Note 2 11 4" xfId="20392"/>
    <cellStyle name="Note 2 11 4 2" xfId="21215"/>
    <cellStyle name="Note 2 11 4 3" xfId="21609"/>
    <cellStyle name="Note 2 11 5" xfId="20393"/>
    <cellStyle name="Note 2 11 5 2" xfId="21214"/>
    <cellStyle name="Note 2 11 5 3" xfId="21610"/>
    <cellStyle name="Note 2 12" xfId="20394"/>
    <cellStyle name="Note 2 12 2" xfId="20395"/>
    <cellStyle name="Note 2 12 2 2" xfId="21213"/>
    <cellStyle name="Note 2 12 2 3" xfId="21611"/>
    <cellStyle name="Note 2 12 3" xfId="20396"/>
    <cellStyle name="Note 2 12 3 2" xfId="21212"/>
    <cellStyle name="Note 2 12 3 3" xfId="21612"/>
    <cellStyle name="Note 2 12 4" xfId="20397"/>
    <cellStyle name="Note 2 12 4 2" xfId="21211"/>
    <cellStyle name="Note 2 12 4 3" xfId="21613"/>
    <cellStyle name="Note 2 12 5" xfId="20398"/>
    <cellStyle name="Note 2 12 5 2" xfId="21210"/>
    <cellStyle name="Note 2 12 5 3" xfId="21614"/>
    <cellStyle name="Note 2 13" xfId="20399"/>
    <cellStyle name="Note 2 13 2" xfId="20400"/>
    <cellStyle name="Note 2 13 2 2" xfId="21209"/>
    <cellStyle name="Note 2 13 2 3" xfId="21615"/>
    <cellStyle name="Note 2 13 3" xfId="20401"/>
    <cellStyle name="Note 2 13 3 2" xfId="21208"/>
    <cellStyle name="Note 2 13 3 3" xfId="21616"/>
    <cellStyle name="Note 2 13 4" xfId="20402"/>
    <cellStyle name="Note 2 13 4 2" xfId="21207"/>
    <cellStyle name="Note 2 13 4 3" xfId="21617"/>
    <cellStyle name="Note 2 13 5" xfId="20403"/>
    <cellStyle name="Note 2 13 5 2" xfId="21206"/>
    <cellStyle name="Note 2 13 5 3" xfId="21618"/>
    <cellStyle name="Note 2 14" xfId="20404"/>
    <cellStyle name="Note 2 14 2" xfId="20405"/>
    <cellStyle name="Note 2 14 2 2" xfId="21204"/>
    <cellStyle name="Note 2 14 2 3" xfId="21620"/>
    <cellStyle name="Note 2 14 3" xfId="21205"/>
    <cellStyle name="Note 2 14 4" xfId="21619"/>
    <cellStyle name="Note 2 15" xfId="20406"/>
    <cellStyle name="Note 2 15 2" xfId="20407"/>
    <cellStyle name="Note 2 15 2 2" xfId="21203"/>
    <cellStyle name="Note 2 15 2 3" xfId="21621"/>
    <cellStyle name="Note 2 16" xfId="20408"/>
    <cellStyle name="Note 2 16 2" xfId="21202"/>
    <cellStyle name="Note 2 16 3" xfId="21622"/>
    <cellStyle name="Note 2 17" xfId="20409"/>
    <cellStyle name="Note 2 17 2" xfId="21201"/>
    <cellStyle name="Note 2 17 3" xfId="21623"/>
    <cellStyle name="Note 2 18" xfId="21222"/>
    <cellStyle name="Note 2 19" xfId="21602"/>
    <cellStyle name="Note 2 2" xfId="20410"/>
    <cellStyle name="Note 2 2 10" xfId="20411"/>
    <cellStyle name="Note 2 2 10 2" xfId="21199"/>
    <cellStyle name="Note 2 2 10 3" xfId="21625"/>
    <cellStyle name="Note 2 2 11" xfId="21200"/>
    <cellStyle name="Note 2 2 12" xfId="21624"/>
    <cellStyle name="Note 2 2 2" xfId="20412"/>
    <cellStyle name="Note 2 2 2 2" xfId="20413"/>
    <cellStyle name="Note 2 2 2 2 2" xfId="21197"/>
    <cellStyle name="Note 2 2 2 2 3" xfId="21627"/>
    <cellStyle name="Note 2 2 2 3" xfId="20414"/>
    <cellStyle name="Note 2 2 2 3 2" xfId="21196"/>
    <cellStyle name="Note 2 2 2 3 3" xfId="21628"/>
    <cellStyle name="Note 2 2 2 4" xfId="20415"/>
    <cellStyle name="Note 2 2 2 4 2" xfId="21195"/>
    <cellStyle name="Note 2 2 2 4 3" xfId="21629"/>
    <cellStyle name="Note 2 2 2 5" xfId="20416"/>
    <cellStyle name="Note 2 2 2 5 2" xfId="21194"/>
    <cellStyle name="Note 2 2 2 5 3" xfId="21630"/>
    <cellStyle name="Note 2 2 2 6" xfId="21198"/>
    <cellStyle name="Note 2 2 2 7" xfId="21626"/>
    <cellStyle name="Note 2 2 3" xfId="20417"/>
    <cellStyle name="Note 2 2 3 2" xfId="20418"/>
    <cellStyle name="Note 2 2 3 2 2" xfId="21193"/>
    <cellStyle name="Note 2 2 3 2 3" xfId="21631"/>
    <cellStyle name="Note 2 2 3 3" xfId="20419"/>
    <cellStyle name="Note 2 2 3 3 2" xfId="21192"/>
    <cellStyle name="Note 2 2 3 3 3" xfId="21632"/>
    <cellStyle name="Note 2 2 3 4" xfId="20420"/>
    <cellStyle name="Note 2 2 3 4 2" xfId="21191"/>
    <cellStyle name="Note 2 2 3 4 3" xfId="21633"/>
    <cellStyle name="Note 2 2 3 5" xfId="20421"/>
    <cellStyle name="Note 2 2 3 5 2" xfId="21190"/>
    <cellStyle name="Note 2 2 3 5 3" xfId="21634"/>
    <cellStyle name="Note 2 2 4" xfId="20422"/>
    <cellStyle name="Note 2 2 4 2" xfId="20423"/>
    <cellStyle name="Note 2 2 4 2 2" xfId="21188"/>
    <cellStyle name="Note 2 2 4 2 3" xfId="21636"/>
    <cellStyle name="Note 2 2 4 3" xfId="20424"/>
    <cellStyle name="Note 2 2 4 3 2" xfId="21187"/>
    <cellStyle name="Note 2 2 4 3 3" xfId="21637"/>
    <cellStyle name="Note 2 2 4 4" xfId="20425"/>
    <cellStyle name="Note 2 2 4 4 2" xfId="21186"/>
    <cellStyle name="Note 2 2 4 4 3" xfId="21638"/>
    <cellStyle name="Note 2 2 4 5" xfId="21189"/>
    <cellStyle name="Note 2 2 4 6" xfId="21635"/>
    <cellStyle name="Note 2 2 5" xfId="20426"/>
    <cellStyle name="Note 2 2 5 2" xfId="20427"/>
    <cellStyle name="Note 2 2 5 2 2" xfId="21184"/>
    <cellStyle name="Note 2 2 5 2 3" xfId="21640"/>
    <cellStyle name="Note 2 2 5 3" xfId="20428"/>
    <cellStyle name="Note 2 2 5 3 2" xfId="21183"/>
    <cellStyle name="Note 2 2 5 3 3" xfId="21641"/>
    <cellStyle name="Note 2 2 5 4" xfId="20429"/>
    <cellStyle name="Note 2 2 5 4 2" xfId="21182"/>
    <cellStyle name="Note 2 2 5 4 3" xfId="21642"/>
    <cellStyle name="Note 2 2 5 5" xfId="21185"/>
    <cellStyle name="Note 2 2 5 6" xfId="21639"/>
    <cellStyle name="Note 2 2 6" xfId="20430"/>
    <cellStyle name="Note 2 2 6 2" xfId="21181"/>
    <cellStyle name="Note 2 2 6 3" xfId="21643"/>
    <cellStyle name="Note 2 2 7" xfId="20431"/>
    <cellStyle name="Note 2 2 7 2" xfId="21180"/>
    <cellStyle name="Note 2 2 7 3" xfId="21644"/>
    <cellStyle name="Note 2 2 8" xfId="20432"/>
    <cellStyle name="Note 2 2 8 2" xfId="21179"/>
    <cellStyle name="Note 2 2 8 3" xfId="21645"/>
    <cellStyle name="Note 2 2 9" xfId="20433"/>
    <cellStyle name="Note 2 2 9 2" xfId="21178"/>
    <cellStyle name="Note 2 2 9 3" xfId="21646"/>
    <cellStyle name="Note 2 3" xfId="20434"/>
    <cellStyle name="Note 2 3 2" xfId="20435"/>
    <cellStyle name="Note 2 3 2 2" xfId="21177"/>
    <cellStyle name="Note 2 3 2 3" xfId="21647"/>
    <cellStyle name="Note 2 3 3" xfId="20436"/>
    <cellStyle name="Note 2 3 3 2" xfId="21176"/>
    <cellStyle name="Note 2 3 3 3" xfId="21648"/>
    <cellStyle name="Note 2 3 4" xfId="20437"/>
    <cellStyle name="Note 2 3 4 2" xfId="21175"/>
    <cellStyle name="Note 2 3 4 3" xfId="21649"/>
    <cellStyle name="Note 2 3 5" xfId="20438"/>
    <cellStyle name="Note 2 3 5 2" xfId="21174"/>
    <cellStyle name="Note 2 3 5 3" xfId="21650"/>
    <cellStyle name="Note 2 4" xfId="20439"/>
    <cellStyle name="Note 2 4 2" xfId="20440"/>
    <cellStyle name="Note 2 4 2 2" xfId="20441"/>
    <cellStyle name="Note 2 4 2 2 2" xfId="21173"/>
    <cellStyle name="Note 2 4 2 2 3" xfId="21651"/>
    <cellStyle name="Note 2 4 3" xfId="20442"/>
    <cellStyle name="Note 2 4 3 2" xfId="20443"/>
    <cellStyle name="Note 2 4 3 2 2" xfId="21172"/>
    <cellStyle name="Note 2 4 3 2 3" xfId="21652"/>
    <cellStyle name="Note 2 4 4" xfId="20444"/>
    <cellStyle name="Note 2 4 4 2" xfId="20445"/>
    <cellStyle name="Note 2 4 4 2 2" xfId="21171"/>
    <cellStyle name="Note 2 4 4 2 3" xfId="21653"/>
    <cellStyle name="Note 2 4 5" xfId="20446"/>
    <cellStyle name="Note 2 4 6" xfId="20447"/>
    <cellStyle name="Note 2 4 7" xfId="20448"/>
    <cellStyle name="Note 2 4 7 2" xfId="21170"/>
    <cellStyle name="Note 2 4 7 3" xfId="21654"/>
    <cellStyle name="Note 2 5" xfId="20449"/>
    <cellStyle name="Note 2 5 2" xfId="20450"/>
    <cellStyle name="Note 2 5 2 2" xfId="20451"/>
    <cellStyle name="Note 2 5 2 2 2" xfId="21169"/>
    <cellStyle name="Note 2 5 2 2 3" xfId="21655"/>
    <cellStyle name="Note 2 5 3" xfId="20452"/>
    <cellStyle name="Note 2 5 3 2" xfId="20453"/>
    <cellStyle name="Note 2 5 3 2 2" xfId="21168"/>
    <cellStyle name="Note 2 5 3 2 3" xfId="21656"/>
    <cellStyle name="Note 2 5 4" xfId="20454"/>
    <cellStyle name="Note 2 5 4 2" xfId="20455"/>
    <cellStyle name="Note 2 5 4 2 2" xfId="21167"/>
    <cellStyle name="Note 2 5 4 2 3" xfId="21657"/>
    <cellStyle name="Note 2 5 5" xfId="20456"/>
    <cellStyle name="Note 2 5 6" xfId="20457"/>
    <cellStyle name="Note 2 5 7" xfId="20458"/>
    <cellStyle name="Note 2 5 7 2" xfId="21166"/>
    <cellStyle name="Note 2 5 7 3" xfId="21658"/>
    <cellStyle name="Note 2 6" xfId="20459"/>
    <cellStyle name="Note 2 6 2" xfId="20460"/>
    <cellStyle name="Note 2 6 2 2" xfId="20461"/>
    <cellStyle name="Note 2 6 2 2 2" xfId="21165"/>
    <cellStyle name="Note 2 6 2 2 3" xfId="21659"/>
    <cellStyle name="Note 2 6 3" xfId="20462"/>
    <cellStyle name="Note 2 6 3 2" xfId="20463"/>
    <cellStyle name="Note 2 6 3 2 2" xfId="21164"/>
    <cellStyle name="Note 2 6 3 2 3" xfId="21660"/>
    <cellStyle name="Note 2 6 4" xfId="20464"/>
    <cellStyle name="Note 2 6 4 2" xfId="20465"/>
    <cellStyle name="Note 2 6 4 2 2" xfId="21163"/>
    <cellStyle name="Note 2 6 4 2 3" xfId="21661"/>
    <cellStyle name="Note 2 6 5" xfId="20466"/>
    <cellStyle name="Note 2 6 6" xfId="20467"/>
    <cellStyle name="Note 2 6 7" xfId="20468"/>
    <cellStyle name="Note 2 6 7 2" xfId="21162"/>
    <cellStyle name="Note 2 6 7 3" xfId="21662"/>
    <cellStyle name="Note 2 7" xfId="20469"/>
    <cellStyle name="Note 2 7 2" xfId="20470"/>
    <cellStyle name="Note 2 7 2 2" xfId="20471"/>
    <cellStyle name="Note 2 7 2 2 2" xfId="21161"/>
    <cellStyle name="Note 2 7 2 2 3" xfId="21663"/>
    <cellStyle name="Note 2 7 3" xfId="20472"/>
    <cellStyle name="Note 2 7 3 2" xfId="20473"/>
    <cellStyle name="Note 2 7 3 2 2" xfId="21160"/>
    <cellStyle name="Note 2 7 3 2 3" xfId="21664"/>
    <cellStyle name="Note 2 7 4" xfId="20474"/>
    <cellStyle name="Note 2 7 4 2" xfId="20475"/>
    <cellStyle name="Note 2 7 4 2 2" xfId="21159"/>
    <cellStyle name="Note 2 7 4 2 3" xfId="21665"/>
    <cellStyle name="Note 2 7 5" xfId="20476"/>
    <cellStyle name="Note 2 7 6" xfId="20477"/>
    <cellStyle name="Note 2 7 7" xfId="20478"/>
    <cellStyle name="Note 2 7 7 2" xfId="21158"/>
    <cellStyle name="Note 2 7 7 3" xfId="21666"/>
    <cellStyle name="Note 2 8" xfId="20479"/>
    <cellStyle name="Note 2 8 2" xfId="20480"/>
    <cellStyle name="Note 2 8 2 2" xfId="21157"/>
    <cellStyle name="Note 2 8 2 3" xfId="21667"/>
    <cellStyle name="Note 2 8 3" xfId="20481"/>
    <cellStyle name="Note 2 8 3 2" xfId="21156"/>
    <cellStyle name="Note 2 8 3 3" xfId="21668"/>
    <cellStyle name="Note 2 8 4" xfId="20482"/>
    <cellStyle name="Note 2 8 4 2" xfId="21155"/>
    <cellStyle name="Note 2 8 4 3" xfId="21669"/>
    <cellStyle name="Note 2 8 5" xfId="20483"/>
    <cellStyle name="Note 2 8 5 2" xfId="21154"/>
    <cellStyle name="Note 2 8 5 3" xfId="21670"/>
    <cellStyle name="Note 2 9" xfId="20484"/>
    <cellStyle name="Note 2 9 2" xfId="20485"/>
    <cellStyle name="Note 2 9 2 2" xfId="21153"/>
    <cellStyle name="Note 2 9 2 3" xfId="21671"/>
    <cellStyle name="Note 2 9 3" xfId="20486"/>
    <cellStyle name="Note 2 9 3 2" xfId="21152"/>
    <cellStyle name="Note 2 9 3 3" xfId="21672"/>
    <cellStyle name="Note 2 9 4" xfId="20487"/>
    <cellStyle name="Note 2 9 4 2" xfId="21151"/>
    <cellStyle name="Note 2 9 4 3" xfId="21673"/>
    <cellStyle name="Note 2 9 5" xfId="20488"/>
    <cellStyle name="Note 2 9 5 2" xfId="21150"/>
    <cellStyle name="Note 2 9 5 3" xfId="21674"/>
    <cellStyle name="Note 3 2" xfId="20489"/>
    <cellStyle name="Note 3 2 2" xfId="20490"/>
    <cellStyle name="Note 3 2 2 2" xfId="21148"/>
    <cellStyle name="Note 3 2 2 3" xfId="21676"/>
    <cellStyle name="Note 3 2 3" xfId="20491"/>
    <cellStyle name="Note 3 2 4" xfId="21149"/>
    <cellStyle name="Note 3 2 5" xfId="21675"/>
    <cellStyle name="Note 3 3" xfId="20492"/>
    <cellStyle name="Note 3 3 2" xfId="20493"/>
    <cellStyle name="Note 3 3 3" xfId="21147"/>
    <cellStyle name="Note 3 3 4" xfId="21677"/>
    <cellStyle name="Note 3 4" xfId="20494"/>
    <cellStyle name="Note 3 4 2" xfId="21146"/>
    <cellStyle name="Note 3 4 3" xfId="21678"/>
    <cellStyle name="Note 3 5" xfId="20495"/>
    <cellStyle name="Note 4 2" xfId="20496"/>
    <cellStyle name="Note 4 2 2" xfId="20497"/>
    <cellStyle name="Note 4 2 2 2" xfId="21144"/>
    <cellStyle name="Note 4 2 2 3" xfId="21680"/>
    <cellStyle name="Note 4 2 3" xfId="20498"/>
    <cellStyle name="Note 4 2 4" xfId="21145"/>
    <cellStyle name="Note 4 2 5" xfId="21679"/>
    <cellStyle name="Note 4 3" xfId="20499"/>
    <cellStyle name="Note 4 4" xfId="20500"/>
    <cellStyle name="Note 4 4 2" xfId="21143"/>
    <cellStyle name="Note 4 4 3" xfId="21681"/>
    <cellStyle name="Note 4 5" xfId="20501"/>
    <cellStyle name="Note 5" xfId="20502"/>
    <cellStyle name="Note 5 2" xfId="20503"/>
    <cellStyle name="Note 5 2 2" xfId="20504"/>
    <cellStyle name="Note 5 2 3" xfId="21141"/>
    <cellStyle name="Note 5 2 4" xfId="21683"/>
    <cellStyle name="Note 5 3" xfId="20505"/>
    <cellStyle name="Note 5 3 2" xfId="20506"/>
    <cellStyle name="Note 5 3 3" xfId="21140"/>
    <cellStyle name="Note 5 3 4" xfId="21684"/>
    <cellStyle name="Note 5 4" xfId="20507"/>
    <cellStyle name="Note 5 4 2" xfId="21139"/>
    <cellStyle name="Note 5 4 3" xfId="21685"/>
    <cellStyle name="Note 5 5" xfId="20508"/>
    <cellStyle name="Note 5 6" xfId="21142"/>
    <cellStyle name="Note 5 7" xfId="21682"/>
    <cellStyle name="Note 6" xfId="20509"/>
    <cellStyle name="Note 6 2" xfId="20510"/>
    <cellStyle name="Note 6 2 2" xfId="20511"/>
    <cellStyle name="Note 6 2 3" xfId="21137"/>
    <cellStyle name="Note 6 2 4" xfId="21687"/>
    <cellStyle name="Note 6 3" xfId="20512"/>
    <cellStyle name="Note 6 4" xfId="20513"/>
    <cellStyle name="Note 6 5" xfId="21138"/>
    <cellStyle name="Note 6 6" xfId="21686"/>
    <cellStyle name="Note 7" xfId="20514"/>
    <cellStyle name="Note 7 2" xfId="21136"/>
    <cellStyle name="Note 7 3" xfId="21688"/>
    <cellStyle name="Note 8" xfId="20515"/>
    <cellStyle name="Note 8 2" xfId="20516"/>
    <cellStyle name="Note 8 2 2" xfId="21134"/>
    <cellStyle name="Note 8 2 3" xfId="21690"/>
    <cellStyle name="Note 8 3" xfId="21135"/>
    <cellStyle name="Note 8 4" xfId="21689"/>
    <cellStyle name="Note 9" xfId="20517"/>
    <cellStyle name="Note 9 2" xfId="21133"/>
    <cellStyle name="Note 9 3" xfId="21691"/>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alExposure 3" xfId="2169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2 3" xfId="21694"/>
    <cellStyle name="Output 2 10 3" xfId="20531"/>
    <cellStyle name="Output 2 10 3 2" xfId="21129"/>
    <cellStyle name="Output 2 10 3 3" xfId="21695"/>
    <cellStyle name="Output 2 10 4" xfId="20532"/>
    <cellStyle name="Output 2 10 4 2" xfId="21128"/>
    <cellStyle name="Output 2 10 4 3" xfId="21696"/>
    <cellStyle name="Output 2 10 5" xfId="20533"/>
    <cellStyle name="Output 2 10 5 2" xfId="21127"/>
    <cellStyle name="Output 2 10 5 3" xfId="21697"/>
    <cellStyle name="Output 2 11" xfId="20534"/>
    <cellStyle name="Output 2 11 2" xfId="20535"/>
    <cellStyle name="Output 2 11 2 2" xfId="21125"/>
    <cellStyle name="Output 2 11 2 3" xfId="21699"/>
    <cellStyle name="Output 2 11 3" xfId="20536"/>
    <cellStyle name="Output 2 11 3 2" xfId="21124"/>
    <cellStyle name="Output 2 11 3 3" xfId="21700"/>
    <cellStyle name="Output 2 11 4" xfId="20537"/>
    <cellStyle name="Output 2 11 4 2" xfId="21123"/>
    <cellStyle name="Output 2 11 4 3" xfId="21701"/>
    <cellStyle name="Output 2 11 5" xfId="20538"/>
    <cellStyle name="Output 2 11 5 2" xfId="21122"/>
    <cellStyle name="Output 2 11 5 3" xfId="21702"/>
    <cellStyle name="Output 2 11 6" xfId="21126"/>
    <cellStyle name="Output 2 11 7" xfId="21698"/>
    <cellStyle name="Output 2 12" xfId="20539"/>
    <cellStyle name="Output 2 12 2" xfId="20540"/>
    <cellStyle name="Output 2 12 2 2" xfId="21120"/>
    <cellStyle name="Output 2 12 2 3" xfId="21704"/>
    <cellStyle name="Output 2 12 3" xfId="20541"/>
    <cellStyle name="Output 2 12 3 2" xfId="21119"/>
    <cellStyle name="Output 2 12 3 3" xfId="21705"/>
    <cellStyle name="Output 2 12 4" xfId="20542"/>
    <cellStyle name="Output 2 12 4 2" xfId="21118"/>
    <cellStyle name="Output 2 12 4 3" xfId="21706"/>
    <cellStyle name="Output 2 12 5" xfId="20543"/>
    <cellStyle name="Output 2 12 5 2" xfId="21117"/>
    <cellStyle name="Output 2 12 5 3" xfId="21707"/>
    <cellStyle name="Output 2 12 6" xfId="21121"/>
    <cellStyle name="Output 2 12 7" xfId="21703"/>
    <cellStyle name="Output 2 13" xfId="20544"/>
    <cellStyle name="Output 2 13 2" xfId="20545"/>
    <cellStyle name="Output 2 13 2 2" xfId="21115"/>
    <cellStyle name="Output 2 13 2 3" xfId="21709"/>
    <cellStyle name="Output 2 13 3" xfId="20546"/>
    <cellStyle name="Output 2 13 3 2" xfId="21114"/>
    <cellStyle name="Output 2 13 3 3" xfId="21710"/>
    <cellStyle name="Output 2 13 4" xfId="20547"/>
    <cellStyle name="Output 2 13 4 2" xfId="21113"/>
    <cellStyle name="Output 2 13 4 3" xfId="21711"/>
    <cellStyle name="Output 2 13 5" xfId="21116"/>
    <cellStyle name="Output 2 13 6" xfId="21708"/>
    <cellStyle name="Output 2 14" xfId="20548"/>
    <cellStyle name="Output 2 14 2" xfId="21112"/>
    <cellStyle name="Output 2 14 3" xfId="21712"/>
    <cellStyle name="Output 2 15" xfId="20549"/>
    <cellStyle name="Output 2 15 2" xfId="21111"/>
    <cellStyle name="Output 2 15 3" xfId="21713"/>
    <cellStyle name="Output 2 16" xfId="20550"/>
    <cellStyle name="Output 2 16 2" xfId="21110"/>
    <cellStyle name="Output 2 16 3" xfId="21714"/>
    <cellStyle name="Output 2 17" xfId="21131"/>
    <cellStyle name="Output 2 18" xfId="21693"/>
    <cellStyle name="Output 2 2" xfId="20551"/>
    <cellStyle name="Output 2 2 10" xfId="21109"/>
    <cellStyle name="Output 2 2 11" xfId="21715"/>
    <cellStyle name="Output 2 2 2" xfId="20552"/>
    <cellStyle name="Output 2 2 2 2" xfId="20553"/>
    <cellStyle name="Output 2 2 2 2 2" xfId="21107"/>
    <cellStyle name="Output 2 2 2 2 3" xfId="21717"/>
    <cellStyle name="Output 2 2 2 3" xfId="20554"/>
    <cellStyle name="Output 2 2 2 3 2" xfId="21106"/>
    <cellStyle name="Output 2 2 2 3 3" xfId="21718"/>
    <cellStyle name="Output 2 2 2 4" xfId="20555"/>
    <cellStyle name="Output 2 2 2 4 2" xfId="21105"/>
    <cellStyle name="Output 2 2 2 4 3" xfId="21719"/>
    <cellStyle name="Output 2 2 2 5" xfId="21108"/>
    <cellStyle name="Output 2 2 2 6" xfId="21716"/>
    <cellStyle name="Output 2 2 3" xfId="20556"/>
    <cellStyle name="Output 2 2 3 2" xfId="20557"/>
    <cellStyle name="Output 2 2 3 2 2" xfId="21103"/>
    <cellStyle name="Output 2 2 3 2 3" xfId="21721"/>
    <cellStyle name="Output 2 2 3 3" xfId="20558"/>
    <cellStyle name="Output 2 2 3 3 2" xfId="21102"/>
    <cellStyle name="Output 2 2 3 3 3" xfId="21722"/>
    <cellStyle name="Output 2 2 3 4" xfId="20559"/>
    <cellStyle name="Output 2 2 3 4 2" xfId="21101"/>
    <cellStyle name="Output 2 2 3 4 3" xfId="21723"/>
    <cellStyle name="Output 2 2 3 5" xfId="21104"/>
    <cellStyle name="Output 2 2 3 6" xfId="21720"/>
    <cellStyle name="Output 2 2 4" xfId="20560"/>
    <cellStyle name="Output 2 2 4 2" xfId="20561"/>
    <cellStyle name="Output 2 2 4 2 2" xfId="21099"/>
    <cellStyle name="Output 2 2 4 2 3" xfId="21725"/>
    <cellStyle name="Output 2 2 4 3" xfId="20562"/>
    <cellStyle name="Output 2 2 4 3 2" xfId="21098"/>
    <cellStyle name="Output 2 2 4 3 3" xfId="21726"/>
    <cellStyle name="Output 2 2 4 4" xfId="20563"/>
    <cellStyle name="Output 2 2 4 4 2" xfId="21097"/>
    <cellStyle name="Output 2 2 4 4 3" xfId="21727"/>
    <cellStyle name="Output 2 2 4 5" xfId="21100"/>
    <cellStyle name="Output 2 2 4 6" xfId="21724"/>
    <cellStyle name="Output 2 2 5" xfId="20564"/>
    <cellStyle name="Output 2 2 5 2" xfId="20565"/>
    <cellStyle name="Output 2 2 5 2 2" xfId="21095"/>
    <cellStyle name="Output 2 2 5 2 3" xfId="21729"/>
    <cellStyle name="Output 2 2 5 3" xfId="20566"/>
    <cellStyle name="Output 2 2 5 3 2" xfId="21094"/>
    <cellStyle name="Output 2 2 5 3 3" xfId="21730"/>
    <cellStyle name="Output 2 2 5 4" xfId="20567"/>
    <cellStyle name="Output 2 2 5 4 2" xfId="21093"/>
    <cellStyle name="Output 2 2 5 4 3" xfId="21731"/>
    <cellStyle name="Output 2 2 5 5" xfId="21096"/>
    <cellStyle name="Output 2 2 5 6" xfId="21728"/>
    <cellStyle name="Output 2 2 6" xfId="20568"/>
    <cellStyle name="Output 2 2 6 2" xfId="21092"/>
    <cellStyle name="Output 2 2 6 3" xfId="21732"/>
    <cellStyle name="Output 2 2 7" xfId="20569"/>
    <cellStyle name="Output 2 2 7 2" xfId="21091"/>
    <cellStyle name="Output 2 2 7 3" xfId="21733"/>
    <cellStyle name="Output 2 2 8" xfId="20570"/>
    <cellStyle name="Output 2 2 8 2" xfId="21090"/>
    <cellStyle name="Output 2 2 8 3" xfId="21734"/>
    <cellStyle name="Output 2 2 9" xfId="20571"/>
    <cellStyle name="Output 2 2 9 2" xfId="21089"/>
    <cellStyle name="Output 2 2 9 3" xfId="21735"/>
    <cellStyle name="Output 2 3" xfId="20572"/>
    <cellStyle name="Output 2 3 2" xfId="20573"/>
    <cellStyle name="Output 2 3 2 2" xfId="21088"/>
    <cellStyle name="Output 2 3 2 3" xfId="21736"/>
    <cellStyle name="Output 2 3 3" xfId="20574"/>
    <cellStyle name="Output 2 3 3 2" xfId="21087"/>
    <cellStyle name="Output 2 3 3 3" xfId="21737"/>
    <cellStyle name="Output 2 3 4" xfId="20575"/>
    <cellStyle name="Output 2 3 4 2" xfId="21086"/>
    <cellStyle name="Output 2 3 4 3" xfId="21738"/>
    <cellStyle name="Output 2 3 5" xfId="20576"/>
    <cellStyle name="Output 2 3 5 2" xfId="21085"/>
    <cellStyle name="Output 2 3 5 3" xfId="21739"/>
    <cellStyle name="Output 2 4" xfId="20577"/>
    <cellStyle name="Output 2 4 2" xfId="20578"/>
    <cellStyle name="Output 2 4 2 2" xfId="21084"/>
    <cellStyle name="Output 2 4 2 3" xfId="21740"/>
    <cellStyle name="Output 2 4 3" xfId="20579"/>
    <cellStyle name="Output 2 4 3 2" xfId="21083"/>
    <cellStyle name="Output 2 4 3 3" xfId="21741"/>
    <cellStyle name="Output 2 4 4" xfId="20580"/>
    <cellStyle name="Output 2 4 4 2" xfId="21082"/>
    <cellStyle name="Output 2 4 4 3" xfId="21742"/>
    <cellStyle name="Output 2 4 5" xfId="20581"/>
    <cellStyle name="Output 2 4 5 2" xfId="21081"/>
    <cellStyle name="Output 2 4 5 3" xfId="21743"/>
    <cellStyle name="Output 2 5" xfId="20582"/>
    <cellStyle name="Output 2 5 2" xfId="20583"/>
    <cellStyle name="Output 2 5 2 2" xfId="21080"/>
    <cellStyle name="Output 2 5 2 3" xfId="21744"/>
    <cellStyle name="Output 2 5 3" xfId="20584"/>
    <cellStyle name="Output 2 5 3 2" xfId="21079"/>
    <cellStyle name="Output 2 5 3 3" xfId="21745"/>
    <cellStyle name="Output 2 5 4" xfId="20585"/>
    <cellStyle name="Output 2 5 4 2" xfId="21078"/>
    <cellStyle name="Output 2 5 4 3" xfId="21746"/>
    <cellStyle name="Output 2 5 5" xfId="20586"/>
    <cellStyle name="Output 2 5 5 2" xfId="21077"/>
    <cellStyle name="Output 2 5 5 3" xfId="21747"/>
    <cellStyle name="Output 2 6" xfId="20587"/>
    <cellStyle name="Output 2 6 2" xfId="20588"/>
    <cellStyle name="Output 2 6 2 2" xfId="21076"/>
    <cellStyle name="Output 2 6 2 3" xfId="21748"/>
    <cellStyle name="Output 2 6 3" xfId="20589"/>
    <cellStyle name="Output 2 6 3 2" xfId="21075"/>
    <cellStyle name="Output 2 6 3 3" xfId="21749"/>
    <cellStyle name="Output 2 6 4" xfId="20590"/>
    <cellStyle name="Output 2 6 4 2" xfId="21074"/>
    <cellStyle name="Output 2 6 4 3" xfId="21750"/>
    <cellStyle name="Output 2 6 5" xfId="20591"/>
    <cellStyle name="Output 2 6 5 2" xfId="21073"/>
    <cellStyle name="Output 2 6 5 3" xfId="21751"/>
    <cellStyle name="Output 2 7" xfId="20592"/>
    <cellStyle name="Output 2 7 2" xfId="20593"/>
    <cellStyle name="Output 2 7 2 2" xfId="21072"/>
    <cellStyle name="Output 2 7 2 3" xfId="21752"/>
    <cellStyle name="Output 2 7 3" xfId="20594"/>
    <cellStyle name="Output 2 7 3 2" xfId="21071"/>
    <cellStyle name="Output 2 7 3 3" xfId="21753"/>
    <cellStyle name="Output 2 7 4" xfId="20595"/>
    <cellStyle name="Output 2 7 4 2" xfId="21070"/>
    <cellStyle name="Output 2 7 4 3" xfId="21754"/>
    <cellStyle name="Output 2 7 5" xfId="20596"/>
    <cellStyle name="Output 2 7 5 2" xfId="21069"/>
    <cellStyle name="Output 2 7 5 3" xfId="21755"/>
    <cellStyle name="Output 2 8" xfId="20597"/>
    <cellStyle name="Output 2 8 2" xfId="20598"/>
    <cellStyle name="Output 2 8 2 2" xfId="21068"/>
    <cellStyle name="Output 2 8 2 3" xfId="21756"/>
    <cellStyle name="Output 2 8 3" xfId="20599"/>
    <cellStyle name="Output 2 8 3 2" xfId="21067"/>
    <cellStyle name="Output 2 8 3 3" xfId="21757"/>
    <cellStyle name="Output 2 8 4" xfId="20600"/>
    <cellStyle name="Output 2 8 4 2" xfId="21066"/>
    <cellStyle name="Output 2 8 4 3" xfId="21758"/>
    <cellStyle name="Output 2 8 5" xfId="20601"/>
    <cellStyle name="Output 2 8 5 2" xfId="21065"/>
    <cellStyle name="Output 2 8 5 3" xfId="21759"/>
    <cellStyle name="Output 2 9" xfId="20602"/>
    <cellStyle name="Output 2 9 2" xfId="20603"/>
    <cellStyle name="Output 2 9 2 2" xfId="21064"/>
    <cellStyle name="Output 2 9 2 3" xfId="21760"/>
    <cellStyle name="Output 2 9 3" xfId="20604"/>
    <cellStyle name="Output 2 9 3 2" xfId="21063"/>
    <cellStyle name="Output 2 9 3 3" xfId="21761"/>
    <cellStyle name="Output 2 9 4" xfId="20605"/>
    <cellStyle name="Output 2 9 4 2" xfId="21062"/>
    <cellStyle name="Output 2 9 4 3" xfId="21762"/>
    <cellStyle name="Output 2 9 5" xfId="20606"/>
    <cellStyle name="Output 2 9 5 2" xfId="21061"/>
    <cellStyle name="Output 2 9 5 3" xfId="21763"/>
    <cellStyle name="Output 3" xfId="20607"/>
    <cellStyle name="Output 3 2" xfId="20608"/>
    <cellStyle name="Output 3 2 2" xfId="21059"/>
    <cellStyle name="Output 3 2 3" xfId="21765"/>
    <cellStyle name="Output 3 3" xfId="20609"/>
    <cellStyle name="Output 3 3 2" xfId="21058"/>
    <cellStyle name="Output 3 3 3" xfId="21766"/>
    <cellStyle name="Output 3 4" xfId="21060"/>
    <cellStyle name="Output 3 5" xfId="21764"/>
    <cellStyle name="Output 4" xfId="20610"/>
    <cellStyle name="Output 4 2" xfId="20611"/>
    <cellStyle name="Output 4 2 2" xfId="21056"/>
    <cellStyle name="Output 4 2 3" xfId="21768"/>
    <cellStyle name="Output 4 3" xfId="20612"/>
    <cellStyle name="Output 4 3 2" xfId="21055"/>
    <cellStyle name="Output 4 3 3" xfId="21769"/>
    <cellStyle name="Output 4 4" xfId="21057"/>
    <cellStyle name="Output 4 5" xfId="21767"/>
    <cellStyle name="Output 5" xfId="20613"/>
    <cellStyle name="Output 5 2" xfId="20614"/>
    <cellStyle name="Output 5 2 2" xfId="21053"/>
    <cellStyle name="Output 5 2 3" xfId="21771"/>
    <cellStyle name="Output 5 3" xfId="20615"/>
    <cellStyle name="Output 5 3 2" xfId="21052"/>
    <cellStyle name="Output 5 3 3" xfId="21772"/>
    <cellStyle name="Output 5 4" xfId="21054"/>
    <cellStyle name="Output 5 5" xfId="21770"/>
    <cellStyle name="Output 6" xfId="20616"/>
    <cellStyle name="Output 6 2" xfId="20617"/>
    <cellStyle name="Output 6 2 2" xfId="21050"/>
    <cellStyle name="Output 6 2 3" xfId="21774"/>
    <cellStyle name="Output 6 3" xfId="20618"/>
    <cellStyle name="Output 6 3 2" xfId="21049"/>
    <cellStyle name="Output 6 3 3" xfId="21775"/>
    <cellStyle name="Output 6 4" xfId="21051"/>
    <cellStyle name="Output 6 5" xfId="21773"/>
    <cellStyle name="Output 7" xfId="20619"/>
    <cellStyle name="Output 7 2" xfId="21048"/>
    <cellStyle name="Output 7 3" xfId="21776"/>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Exposure 3" xfId="21777"/>
    <cellStyle name="showParameterE" xfId="20787"/>
    <cellStyle name="showParameterE 2" xfId="21046"/>
    <cellStyle name="showParameterE 3" xfId="21778"/>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2 3" xfId="21780"/>
    <cellStyle name="Total 2 10 3" xfId="20826"/>
    <cellStyle name="Total 2 10 3 2" xfId="21043"/>
    <cellStyle name="Total 2 10 3 3" xfId="21781"/>
    <cellStyle name="Total 2 10 4" xfId="20827"/>
    <cellStyle name="Total 2 10 4 2" xfId="21042"/>
    <cellStyle name="Total 2 10 4 3" xfId="21782"/>
    <cellStyle name="Total 2 10 5" xfId="20828"/>
    <cellStyle name="Total 2 10 5 2" xfId="21041"/>
    <cellStyle name="Total 2 10 5 3" xfId="21783"/>
    <cellStyle name="Total 2 11" xfId="20829"/>
    <cellStyle name="Total 2 11 2" xfId="20830"/>
    <cellStyle name="Total 2 11 2 2" xfId="21039"/>
    <cellStyle name="Total 2 11 2 3" xfId="21785"/>
    <cellStyle name="Total 2 11 3" xfId="20831"/>
    <cellStyle name="Total 2 11 3 2" xfId="21038"/>
    <cellStyle name="Total 2 11 3 3" xfId="21786"/>
    <cellStyle name="Total 2 11 4" xfId="20832"/>
    <cellStyle name="Total 2 11 4 2" xfId="21037"/>
    <cellStyle name="Total 2 11 4 3" xfId="21787"/>
    <cellStyle name="Total 2 11 5" xfId="20833"/>
    <cellStyle name="Total 2 11 5 2" xfId="21036"/>
    <cellStyle name="Total 2 11 5 3" xfId="21788"/>
    <cellStyle name="Total 2 11 6" xfId="21040"/>
    <cellStyle name="Total 2 11 7" xfId="21784"/>
    <cellStyle name="Total 2 12" xfId="20834"/>
    <cellStyle name="Total 2 12 2" xfId="20835"/>
    <cellStyle name="Total 2 12 2 2" xfId="21034"/>
    <cellStyle name="Total 2 12 2 3" xfId="21790"/>
    <cellStyle name="Total 2 12 3" xfId="20836"/>
    <cellStyle name="Total 2 12 3 2" xfId="21033"/>
    <cellStyle name="Total 2 12 3 3" xfId="21791"/>
    <cellStyle name="Total 2 12 4" xfId="20837"/>
    <cellStyle name="Total 2 12 4 2" xfId="21032"/>
    <cellStyle name="Total 2 12 4 3" xfId="21792"/>
    <cellStyle name="Total 2 12 5" xfId="20838"/>
    <cellStyle name="Total 2 12 5 2" xfId="21031"/>
    <cellStyle name="Total 2 12 5 3" xfId="21793"/>
    <cellStyle name="Total 2 12 6" xfId="21035"/>
    <cellStyle name="Total 2 12 7" xfId="21789"/>
    <cellStyle name="Total 2 13" xfId="20839"/>
    <cellStyle name="Total 2 13 2" xfId="20840"/>
    <cellStyle name="Total 2 13 2 2" xfId="21029"/>
    <cellStyle name="Total 2 13 2 3" xfId="21795"/>
    <cellStyle name="Total 2 13 3" xfId="20841"/>
    <cellStyle name="Total 2 13 3 2" xfId="21028"/>
    <cellStyle name="Total 2 13 3 3" xfId="21796"/>
    <cellStyle name="Total 2 13 4" xfId="20842"/>
    <cellStyle name="Total 2 13 4 2" xfId="21027"/>
    <cellStyle name="Total 2 13 4 3" xfId="21797"/>
    <cellStyle name="Total 2 13 5" xfId="21030"/>
    <cellStyle name="Total 2 13 6" xfId="21794"/>
    <cellStyle name="Total 2 14" xfId="20843"/>
    <cellStyle name="Total 2 14 2" xfId="21026"/>
    <cellStyle name="Total 2 14 3" xfId="21798"/>
    <cellStyle name="Total 2 15" xfId="20844"/>
    <cellStyle name="Total 2 15 2" xfId="21025"/>
    <cellStyle name="Total 2 15 3" xfId="21799"/>
    <cellStyle name="Total 2 16" xfId="20845"/>
    <cellStyle name="Total 2 16 2" xfId="21024"/>
    <cellStyle name="Total 2 16 3" xfId="21800"/>
    <cellStyle name="Total 2 17" xfId="21045"/>
    <cellStyle name="Total 2 18" xfId="21779"/>
    <cellStyle name="Total 2 2" xfId="20846"/>
    <cellStyle name="Total 2 2 10" xfId="21023"/>
    <cellStyle name="Total 2 2 11" xfId="21801"/>
    <cellStyle name="Total 2 2 2" xfId="20847"/>
    <cellStyle name="Total 2 2 2 2" xfId="20848"/>
    <cellStyle name="Total 2 2 2 2 2" xfId="21021"/>
    <cellStyle name="Total 2 2 2 2 3" xfId="21803"/>
    <cellStyle name="Total 2 2 2 3" xfId="20849"/>
    <cellStyle name="Total 2 2 2 3 2" xfId="21020"/>
    <cellStyle name="Total 2 2 2 3 3" xfId="21804"/>
    <cellStyle name="Total 2 2 2 4" xfId="20850"/>
    <cellStyle name="Total 2 2 2 4 2" xfId="21019"/>
    <cellStyle name="Total 2 2 2 4 3" xfId="21805"/>
    <cellStyle name="Total 2 2 2 5" xfId="21022"/>
    <cellStyle name="Total 2 2 2 6" xfId="21802"/>
    <cellStyle name="Total 2 2 3" xfId="20851"/>
    <cellStyle name="Total 2 2 3 2" xfId="20852"/>
    <cellStyle name="Total 2 2 3 2 2" xfId="21017"/>
    <cellStyle name="Total 2 2 3 2 3" xfId="21807"/>
    <cellStyle name="Total 2 2 3 3" xfId="20853"/>
    <cellStyle name="Total 2 2 3 3 2" xfId="21016"/>
    <cellStyle name="Total 2 2 3 3 3" xfId="21808"/>
    <cellStyle name="Total 2 2 3 4" xfId="20854"/>
    <cellStyle name="Total 2 2 3 4 2" xfId="21015"/>
    <cellStyle name="Total 2 2 3 4 3" xfId="21809"/>
    <cellStyle name="Total 2 2 3 5" xfId="21018"/>
    <cellStyle name="Total 2 2 3 6" xfId="21806"/>
    <cellStyle name="Total 2 2 4" xfId="20855"/>
    <cellStyle name="Total 2 2 4 2" xfId="20856"/>
    <cellStyle name="Total 2 2 4 2 2" xfId="21013"/>
    <cellStyle name="Total 2 2 4 2 3" xfId="21811"/>
    <cellStyle name="Total 2 2 4 3" xfId="20857"/>
    <cellStyle name="Total 2 2 4 3 2" xfId="21012"/>
    <cellStyle name="Total 2 2 4 3 3" xfId="21812"/>
    <cellStyle name="Total 2 2 4 4" xfId="20858"/>
    <cellStyle name="Total 2 2 4 4 2" xfId="21011"/>
    <cellStyle name="Total 2 2 4 4 3" xfId="21813"/>
    <cellStyle name="Total 2 2 4 5" xfId="21014"/>
    <cellStyle name="Total 2 2 4 6" xfId="21810"/>
    <cellStyle name="Total 2 2 5" xfId="20859"/>
    <cellStyle name="Total 2 2 5 2" xfId="20860"/>
    <cellStyle name="Total 2 2 5 2 2" xfId="21009"/>
    <cellStyle name="Total 2 2 5 2 3" xfId="21815"/>
    <cellStyle name="Total 2 2 5 3" xfId="20861"/>
    <cellStyle name="Total 2 2 5 3 2" xfId="21008"/>
    <cellStyle name="Total 2 2 5 3 3" xfId="21816"/>
    <cellStyle name="Total 2 2 5 4" xfId="20862"/>
    <cellStyle name="Total 2 2 5 4 2" xfId="21007"/>
    <cellStyle name="Total 2 2 5 4 3" xfId="21817"/>
    <cellStyle name="Total 2 2 5 5" xfId="21010"/>
    <cellStyle name="Total 2 2 5 6" xfId="21814"/>
    <cellStyle name="Total 2 2 6" xfId="20863"/>
    <cellStyle name="Total 2 2 6 2" xfId="21006"/>
    <cellStyle name="Total 2 2 6 3" xfId="21818"/>
    <cellStyle name="Total 2 2 7" xfId="20864"/>
    <cellStyle name="Total 2 2 7 2" xfId="21005"/>
    <cellStyle name="Total 2 2 7 3" xfId="21819"/>
    <cellStyle name="Total 2 2 8" xfId="20865"/>
    <cellStyle name="Total 2 2 8 2" xfId="21004"/>
    <cellStyle name="Total 2 2 8 3" xfId="21820"/>
    <cellStyle name="Total 2 2 9" xfId="20866"/>
    <cellStyle name="Total 2 2 9 2" xfId="21003"/>
    <cellStyle name="Total 2 2 9 3" xfId="21821"/>
    <cellStyle name="Total 2 3" xfId="20867"/>
    <cellStyle name="Total 2 3 2" xfId="20868"/>
    <cellStyle name="Total 2 3 2 2" xfId="21002"/>
    <cellStyle name="Total 2 3 2 3" xfId="21822"/>
    <cellStyle name="Total 2 3 3" xfId="20869"/>
    <cellStyle name="Total 2 3 3 2" xfId="21001"/>
    <cellStyle name="Total 2 3 3 3" xfId="21823"/>
    <cellStyle name="Total 2 3 4" xfId="20870"/>
    <cellStyle name="Total 2 3 4 2" xfId="21000"/>
    <cellStyle name="Total 2 3 4 3" xfId="21824"/>
    <cellStyle name="Total 2 3 5" xfId="20871"/>
    <cellStyle name="Total 2 3 5 2" xfId="20999"/>
    <cellStyle name="Total 2 3 5 3" xfId="21825"/>
    <cellStyle name="Total 2 4" xfId="20872"/>
    <cellStyle name="Total 2 4 2" xfId="20873"/>
    <cellStyle name="Total 2 4 2 2" xfId="20998"/>
    <cellStyle name="Total 2 4 2 3" xfId="21826"/>
    <cellStyle name="Total 2 4 3" xfId="20874"/>
    <cellStyle name="Total 2 4 3 2" xfId="20997"/>
    <cellStyle name="Total 2 4 3 3" xfId="21827"/>
    <cellStyle name="Total 2 4 4" xfId="20875"/>
    <cellStyle name="Total 2 4 4 2" xfId="20996"/>
    <cellStyle name="Total 2 4 4 3" xfId="21828"/>
    <cellStyle name="Total 2 4 5" xfId="20876"/>
    <cellStyle name="Total 2 4 5 2" xfId="20995"/>
    <cellStyle name="Total 2 4 5 3" xfId="21829"/>
    <cellStyle name="Total 2 5" xfId="20877"/>
    <cellStyle name="Total 2 5 2" xfId="20878"/>
    <cellStyle name="Total 2 5 2 2" xfId="20994"/>
    <cellStyle name="Total 2 5 2 3" xfId="21830"/>
    <cellStyle name="Total 2 5 3" xfId="20879"/>
    <cellStyle name="Total 2 5 3 2" xfId="20993"/>
    <cellStyle name="Total 2 5 3 3" xfId="21831"/>
    <cellStyle name="Total 2 5 4" xfId="20880"/>
    <cellStyle name="Total 2 5 4 2" xfId="20992"/>
    <cellStyle name="Total 2 5 4 3" xfId="21832"/>
    <cellStyle name="Total 2 5 5" xfId="20881"/>
    <cellStyle name="Total 2 5 5 2" xfId="20991"/>
    <cellStyle name="Total 2 5 5 3" xfId="21833"/>
    <cellStyle name="Total 2 6" xfId="20882"/>
    <cellStyle name="Total 2 6 2" xfId="20883"/>
    <cellStyle name="Total 2 6 2 2" xfId="20990"/>
    <cellStyle name="Total 2 6 2 3" xfId="21834"/>
    <cellStyle name="Total 2 6 3" xfId="20884"/>
    <cellStyle name="Total 2 6 3 2" xfId="20989"/>
    <cellStyle name="Total 2 6 3 3" xfId="21835"/>
    <cellStyle name="Total 2 6 4" xfId="20885"/>
    <cellStyle name="Total 2 6 4 2" xfId="20988"/>
    <cellStyle name="Total 2 6 4 3" xfId="21836"/>
    <cellStyle name="Total 2 6 5" xfId="20886"/>
    <cellStyle name="Total 2 6 5 2" xfId="20987"/>
    <cellStyle name="Total 2 6 5 3" xfId="21837"/>
    <cellStyle name="Total 2 7" xfId="20887"/>
    <cellStyle name="Total 2 7 2" xfId="20888"/>
    <cellStyle name="Total 2 7 2 2" xfId="20986"/>
    <cellStyle name="Total 2 7 2 3" xfId="21838"/>
    <cellStyle name="Total 2 7 3" xfId="20889"/>
    <cellStyle name="Total 2 7 3 2" xfId="20985"/>
    <cellStyle name="Total 2 7 3 3" xfId="21839"/>
    <cellStyle name="Total 2 7 4" xfId="20890"/>
    <cellStyle name="Total 2 7 4 2" xfId="20984"/>
    <cellStyle name="Total 2 7 4 3" xfId="21840"/>
    <cellStyle name="Total 2 7 5" xfId="20891"/>
    <cellStyle name="Total 2 7 5 2" xfId="20983"/>
    <cellStyle name="Total 2 7 5 3" xfId="21841"/>
    <cellStyle name="Total 2 8" xfId="20892"/>
    <cellStyle name="Total 2 8 2" xfId="20893"/>
    <cellStyle name="Total 2 8 2 2" xfId="20982"/>
    <cellStyle name="Total 2 8 2 3" xfId="21842"/>
    <cellStyle name="Total 2 8 3" xfId="20894"/>
    <cellStyle name="Total 2 8 3 2" xfId="20981"/>
    <cellStyle name="Total 2 8 3 3" xfId="21843"/>
    <cellStyle name="Total 2 8 4" xfId="20895"/>
    <cellStyle name="Total 2 8 4 2" xfId="20980"/>
    <cellStyle name="Total 2 8 4 3" xfId="21844"/>
    <cellStyle name="Total 2 8 5" xfId="20896"/>
    <cellStyle name="Total 2 8 5 2" xfId="20979"/>
    <cellStyle name="Total 2 8 5 3" xfId="21845"/>
    <cellStyle name="Total 2 9" xfId="20897"/>
    <cellStyle name="Total 2 9 2" xfId="20898"/>
    <cellStyle name="Total 2 9 2 2" xfId="20978"/>
    <cellStyle name="Total 2 9 2 3" xfId="21846"/>
    <cellStyle name="Total 2 9 3" xfId="20899"/>
    <cellStyle name="Total 2 9 3 2" xfId="20977"/>
    <cellStyle name="Total 2 9 3 3" xfId="21847"/>
    <cellStyle name="Total 2 9 4" xfId="20900"/>
    <cellStyle name="Total 2 9 4 2" xfId="20976"/>
    <cellStyle name="Total 2 9 4 3" xfId="21848"/>
    <cellStyle name="Total 2 9 5" xfId="20901"/>
    <cellStyle name="Total 2 9 5 2" xfId="20975"/>
    <cellStyle name="Total 2 9 5 3" xfId="21849"/>
    <cellStyle name="Total 3" xfId="20902"/>
    <cellStyle name="Total 3 2" xfId="20903"/>
    <cellStyle name="Total 3 2 2" xfId="20973"/>
    <cellStyle name="Total 3 2 3" xfId="21851"/>
    <cellStyle name="Total 3 3" xfId="20904"/>
    <cellStyle name="Total 3 3 2" xfId="20972"/>
    <cellStyle name="Total 3 3 3" xfId="21852"/>
    <cellStyle name="Total 3 4" xfId="20974"/>
    <cellStyle name="Total 3 5" xfId="21850"/>
    <cellStyle name="Total 4" xfId="20905"/>
    <cellStyle name="Total 4 2" xfId="20906"/>
    <cellStyle name="Total 4 2 2" xfId="20970"/>
    <cellStyle name="Total 4 2 3" xfId="21854"/>
    <cellStyle name="Total 4 3" xfId="20907"/>
    <cellStyle name="Total 4 3 2" xfId="20969"/>
    <cellStyle name="Total 4 3 3" xfId="21855"/>
    <cellStyle name="Total 4 4" xfId="20971"/>
    <cellStyle name="Total 4 5" xfId="21853"/>
    <cellStyle name="Total 5" xfId="20908"/>
    <cellStyle name="Total 5 2" xfId="20909"/>
    <cellStyle name="Total 5 2 2" xfId="20967"/>
    <cellStyle name="Total 5 2 3" xfId="21857"/>
    <cellStyle name="Total 5 3" xfId="20910"/>
    <cellStyle name="Total 5 3 2" xfId="20966"/>
    <cellStyle name="Total 5 3 3" xfId="21858"/>
    <cellStyle name="Total 5 4" xfId="20968"/>
    <cellStyle name="Total 5 5" xfId="21856"/>
    <cellStyle name="Total 6" xfId="20911"/>
    <cellStyle name="Total 6 2" xfId="20912"/>
    <cellStyle name="Total 6 2 2" xfId="20964"/>
    <cellStyle name="Total 6 2 3" xfId="21860"/>
    <cellStyle name="Total 6 3" xfId="20913"/>
    <cellStyle name="Total 6 3 2" xfId="20963"/>
    <cellStyle name="Total 6 3 3" xfId="21861"/>
    <cellStyle name="Total 6 4" xfId="20965"/>
    <cellStyle name="Total 6 5" xfId="21859"/>
    <cellStyle name="Total 7" xfId="20914"/>
    <cellStyle name="Total 7 2" xfId="20962"/>
    <cellStyle name="Total 7 3" xfId="218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color rgb="FFFFC000"/>
      </font>
      <fill>
        <patternFill>
          <bgColor rgb="FFFF0000"/>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35"/>
  <sheetViews>
    <sheetView tabSelected="1" zoomScale="85" zoomScaleNormal="85" workbookViewId="0">
      <pane xSplit="1" ySplit="7" topLeftCell="B8" activePane="bottomRight" state="frozen"/>
      <selection pane="topRight" activeCell="B1" sqref="B1"/>
      <selection pane="bottomLeft" activeCell="A8" sqref="A8"/>
      <selection pane="bottomRight" activeCell="D3" sqref="D3"/>
    </sheetView>
  </sheetViews>
  <sheetFormatPr defaultRowHeight="15"/>
  <cols>
    <col min="1" max="1" width="10.28515625" style="2" customWidth="1"/>
    <col min="2" max="2" width="153" bestFit="1" customWidth="1"/>
    <col min="3" max="3" width="39.42578125" customWidth="1"/>
    <col min="4" max="4" width="11.7109375" bestFit="1" customWidth="1"/>
    <col min="6" max="6" width="10.85546875" bestFit="1" customWidth="1"/>
    <col min="7" max="7" width="25" customWidth="1"/>
  </cols>
  <sheetData>
    <row r="1" spans="1:6" ht="15.75">
      <c r="A1" s="9"/>
      <c r="B1" s="130" t="s">
        <v>159</v>
      </c>
      <c r="C1" s="54"/>
    </row>
    <row r="2" spans="1:6" s="127" customFormat="1" ht="15.75">
      <c r="A2" s="168">
        <v>1</v>
      </c>
      <c r="B2" s="128" t="s">
        <v>160</v>
      </c>
      <c r="C2" s="680" t="s">
        <v>959</v>
      </c>
      <c r="D2" s="682">
        <v>45747</v>
      </c>
    </row>
    <row r="3" spans="1:6" s="127" customFormat="1" ht="15.75">
      <c r="A3" s="168">
        <v>2</v>
      </c>
      <c r="B3" s="129" t="s">
        <v>161</v>
      </c>
      <c r="C3" s="680" t="s">
        <v>960</v>
      </c>
      <c r="D3" s="675"/>
    </row>
    <row r="4" spans="1:6" s="127" customFormat="1" ht="15.75">
      <c r="A4" s="168">
        <v>3</v>
      </c>
      <c r="B4" s="129" t="s">
        <v>162</v>
      </c>
      <c r="C4" s="680" t="s">
        <v>961</v>
      </c>
      <c r="D4" s="675"/>
    </row>
    <row r="5" spans="1:6" s="127" customFormat="1" ht="15.75">
      <c r="A5" s="169">
        <v>4</v>
      </c>
      <c r="B5" s="132" t="s">
        <v>163</v>
      </c>
      <c r="C5" s="680" t="s">
        <v>962</v>
      </c>
      <c r="D5" s="675"/>
    </row>
    <row r="6" spans="1:6" s="131" customFormat="1" ht="65.25" customHeight="1">
      <c r="A6" s="803" t="s">
        <v>321</v>
      </c>
      <c r="B6" s="804"/>
      <c r="C6" s="804"/>
    </row>
    <row r="7" spans="1:6">
      <c r="A7" s="269" t="s">
        <v>251</v>
      </c>
      <c r="B7" s="270" t="s">
        <v>164</v>
      </c>
    </row>
    <row r="8" spans="1:6">
      <c r="A8" s="271">
        <v>1</v>
      </c>
      <c r="B8" s="267" t="s">
        <v>139</v>
      </c>
    </row>
    <row r="9" spans="1:6">
      <c r="A9" s="271">
        <v>2</v>
      </c>
      <c r="B9" s="267" t="s">
        <v>165</v>
      </c>
    </row>
    <row r="10" spans="1:6">
      <c r="A10" s="271">
        <v>3</v>
      </c>
      <c r="B10" s="267" t="s">
        <v>166</v>
      </c>
    </row>
    <row r="11" spans="1:6">
      <c r="A11" s="271">
        <v>4</v>
      </c>
      <c r="B11" s="267" t="s">
        <v>167</v>
      </c>
      <c r="C11" s="126"/>
      <c r="F11" s="788"/>
    </row>
    <row r="12" spans="1:6">
      <c r="A12" s="271">
        <v>5</v>
      </c>
      <c r="B12" s="267" t="s">
        <v>107</v>
      </c>
      <c r="F12" s="788"/>
    </row>
    <row r="13" spans="1:6">
      <c r="A13" s="271">
        <v>6</v>
      </c>
      <c r="B13" s="272" t="s">
        <v>91</v>
      </c>
    </row>
    <row r="14" spans="1:6">
      <c r="A14" s="271">
        <v>7</v>
      </c>
      <c r="B14" s="267" t="s">
        <v>168</v>
      </c>
    </row>
    <row r="15" spans="1:6">
      <c r="A15" s="271">
        <v>8</v>
      </c>
      <c r="B15" s="267" t="s">
        <v>171</v>
      </c>
    </row>
    <row r="16" spans="1:6">
      <c r="A16" s="271">
        <v>9</v>
      </c>
      <c r="B16" s="267" t="s">
        <v>85</v>
      </c>
    </row>
    <row r="17" spans="1:2">
      <c r="A17" s="273" t="s">
        <v>378</v>
      </c>
      <c r="B17" s="267" t="s">
        <v>358</v>
      </c>
    </row>
    <row r="18" spans="1:2">
      <c r="A18" s="271">
        <v>10</v>
      </c>
      <c r="B18" s="267" t="s">
        <v>172</v>
      </c>
    </row>
    <row r="19" spans="1:2">
      <c r="A19" s="271">
        <v>11</v>
      </c>
      <c r="B19" s="272" t="s">
        <v>155</v>
      </c>
    </row>
    <row r="20" spans="1:2">
      <c r="A20" s="271">
        <v>12</v>
      </c>
      <c r="B20" s="272" t="s">
        <v>152</v>
      </c>
    </row>
    <row r="21" spans="1:2">
      <c r="A21" s="271">
        <v>13</v>
      </c>
      <c r="B21" s="274" t="s">
        <v>297</v>
      </c>
    </row>
    <row r="22" spans="1:2">
      <c r="A22" s="271">
        <v>14</v>
      </c>
      <c r="B22" s="267" t="s">
        <v>351</v>
      </c>
    </row>
    <row r="23" spans="1:2">
      <c r="A23" s="275">
        <v>15</v>
      </c>
      <c r="B23" s="267" t="s">
        <v>74</v>
      </c>
    </row>
    <row r="24" spans="1:2">
      <c r="A24" s="275">
        <v>15.1</v>
      </c>
      <c r="B24" s="267" t="s">
        <v>387</v>
      </c>
    </row>
    <row r="25" spans="1:2">
      <c r="A25" s="275">
        <v>16</v>
      </c>
      <c r="B25" s="267" t="s">
        <v>453</v>
      </c>
    </row>
    <row r="26" spans="1:2">
      <c r="A26" s="275">
        <v>17</v>
      </c>
      <c r="B26" s="267" t="s">
        <v>677</v>
      </c>
    </row>
    <row r="27" spans="1:2">
      <c r="A27" s="275">
        <v>18</v>
      </c>
      <c r="B27" s="267" t="s">
        <v>938</v>
      </c>
    </row>
    <row r="28" spans="1:2">
      <c r="A28" s="275">
        <v>19</v>
      </c>
      <c r="B28" s="267" t="s">
        <v>939</v>
      </c>
    </row>
    <row r="29" spans="1:2">
      <c r="A29" s="275">
        <v>20</v>
      </c>
      <c r="B29" s="267" t="s">
        <v>940</v>
      </c>
    </row>
    <row r="30" spans="1:2">
      <c r="A30" s="275">
        <v>21</v>
      </c>
      <c r="B30" s="267" t="s">
        <v>546</v>
      </c>
    </row>
    <row r="31" spans="1:2">
      <c r="A31" s="275">
        <v>22</v>
      </c>
      <c r="B31" s="267" t="s">
        <v>941</v>
      </c>
    </row>
    <row r="32" spans="1:2" ht="25.5">
      <c r="A32" s="275">
        <v>23</v>
      </c>
      <c r="B32" s="616" t="s">
        <v>937</v>
      </c>
    </row>
    <row r="33" spans="1:2">
      <c r="A33" s="275">
        <v>24</v>
      </c>
      <c r="B33" s="267" t="s">
        <v>942</v>
      </c>
    </row>
    <row r="34" spans="1:2">
      <c r="A34" s="275">
        <v>25</v>
      </c>
      <c r="B34" s="267" t="s">
        <v>943</v>
      </c>
    </row>
    <row r="35" spans="1:2">
      <c r="A35" s="271">
        <v>26</v>
      </c>
      <c r="B35" s="267" t="s">
        <v>723</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0" location="'12. CRM'!A1" display="საკრედიტო რისკის მიტიგაცია"/>
    <hyperlink ref="B19" location="'11. CRWA'!A1" display="საკრედიტო რისკის მიხედვით შეწონილი რისკის პოზიციები"/>
    <hyperlink ref="B21" location="'13. CRME'!A1" display="სტანდარტიზებული მიდგომა - საკრედიტო რისკი საკრედიტო რისკის მიტიგაციის ეფექტი"/>
    <hyperlink ref="B23" location="'15. CCR'!A1" display="კონტრაგენტთან დაკავშირებული საკრედიტო რისკის მიხედვით შეწონილი რისკის პოზიციები"/>
    <hyperlink ref="B22"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4" location="'15.1. LR'!A1" display="ლევერიჯის კოეფიციენტი"/>
    <hyperlink ref="B25" location="'16. NSFR'!A1" display="წმინდა სტაბილური დაფინანსების კოეფიციენტი"/>
    <hyperlink ref="B26" location="' 17. Residual Maturity'!A1" display="რისკის პოზიციის ღირებულება ნარჩენი ვადიანობის  და რისკის კლასების მიხედვით"/>
    <hyperlink ref="B27"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28"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0" location="'21. NPL'!A1" display="უმოქმედო სესხების ცვლილება"/>
    <hyperlink ref="B31"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2"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3"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4"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29" location="'20. Reserves'!A1" display="რეზერვის ცვლილება სესხებზე და კორპორატიულ სავალო ფასიანი ქაღალდებზე"/>
    <hyperlink ref="B35" location="'26. Retail Products'!A1" display="ზოგადი ინფორმაცია საცალო პროდუქტებზე"/>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9"/>
  <sheetViews>
    <sheetView zoomScale="85" zoomScaleNormal="85" workbookViewId="0">
      <pane xSplit="1" ySplit="5" topLeftCell="B6" activePane="bottomRight" state="frozen"/>
      <selection activeCell="B2" sqref="B2"/>
      <selection pane="topRight" activeCell="B2" sqref="B2"/>
      <selection pane="bottomLeft" activeCell="B2" sqref="B2"/>
      <selection pane="bottomRight" activeCell="B6" sqref="B6"/>
    </sheetView>
  </sheetViews>
  <sheetFormatPr defaultRowHeight="15"/>
  <cols>
    <col min="1" max="1" width="9.5703125" style="5" bestFit="1" customWidth="1"/>
    <col min="2" max="2" width="132.42578125" style="2" customWidth="1"/>
    <col min="3" max="3" width="18.42578125" style="2" customWidth="1"/>
  </cols>
  <sheetData>
    <row r="1" spans="1:6" ht="15.75">
      <c r="A1" s="17" t="s">
        <v>108</v>
      </c>
      <c r="B1" s="16" t="str">
        <f>Info!C2</f>
        <v>JSC "VTB Bank (Georgia)"</v>
      </c>
      <c r="D1" s="2"/>
      <c r="E1" s="2"/>
      <c r="F1" s="2"/>
    </row>
    <row r="2" spans="1:6" s="21" customFormat="1" ht="15.75" customHeight="1">
      <c r="A2" s="21" t="s">
        <v>109</v>
      </c>
      <c r="B2" s="336">
        <f>Info!D2</f>
        <v>45747</v>
      </c>
    </row>
    <row r="3" spans="1:6" s="21" customFormat="1" ht="15.75" customHeight="1"/>
    <row r="4" spans="1:6" ht="15.75" thickBot="1">
      <c r="A4" s="5" t="s">
        <v>257</v>
      </c>
      <c r="B4" s="30" t="s">
        <v>85</v>
      </c>
    </row>
    <row r="5" spans="1:6">
      <c r="A5" s="87" t="s">
        <v>25</v>
      </c>
      <c r="B5" s="88"/>
      <c r="C5" s="89" t="s">
        <v>26</v>
      </c>
    </row>
    <row r="6" spans="1:6">
      <c r="A6" s="90">
        <v>1</v>
      </c>
      <c r="B6" s="50" t="s">
        <v>27</v>
      </c>
      <c r="C6" s="178">
        <f>SUM(C7:C11)</f>
        <v>240977734.6242629</v>
      </c>
    </row>
    <row r="7" spans="1:6">
      <c r="A7" s="90">
        <v>2</v>
      </c>
      <c r="B7" s="47" t="s">
        <v>28</v>
      </c>
      <c r="C7" s="745">
        <v>209008277</v>
      </c>
    </row>
    <row r="8" spans="1:6">
      <c r="A8" s="90">
        <v>3</v>
      </c>
      <c r="B8" s="41" t="s">
        <v>29</v>
      </c>
      <c r="C8" s="745"/>
    </row>
    <row r="9" spans="1:6">
      <c r="A9" s="90">
        <v>4</v>
      </c>
      <c r="B9" s="41" t="s">
        <v>30</v>
      </c>
      <c r="C9" s="745">
        <v>12445108</v>
      </c>
    </row>
    <row r="10" spans="1:6">
      <c r="A10" s="90">
        <v>5</v>
      </c>
      <c r="B10" s="41" t="s">
        <v>31</v>
      </c>
      <c r="C10" s="745"/>
    </row>
    <row r="11" spans="1:6">
      <c r="A11" s="90">
        <v>6</v>
      </c>
      <c r="B11" s="48" t="s">
        <v>32</v>
      </c>
      <c r="C11" s="745">
        <v>19524349.624262907</v>
      </c>
    </row>
    <row r="12" spans="1:6" s="4" customFormat="1">
      <c r="A12" s="90">
        <v>7</v>
      </c>
      <c r="B12" s="50" t="s">
        <v>33</v>
      </c>
      <c r="C12" s="746">
        <f>SUM(C13:C28)</f>
        <v>13406699.24</v>
      </c>
    </row>
    <row r="13" spans="1:6" s="4" customFormat="1">
      <c r="A13" s="90">
        <v>8</v>
      </c>
      <c r="B13" s="49" t="s">
        <v>34</v>
      </c>
      <c r="C13" s="747">
        <v>12445108</v>
      </c>
    </row>
    <row r="14" spans="1:6" s="4" customFormat="1" ht="25.5">
      <c r="A14" s="90">
        <v>9</v>
      </c>
      <c r="B14" s="42" t="s">
        <v>35</v>
      </c>
      <c r="C14" s="747"/>
    </row>
    <row r="15" spans="1:6" s="4" customFormat="1">
      <c r="A15" s="90">
        <v>10</v>
      </c>
      <c r="B15" s="43" t="s">
        <v>36</v>
      </c>
      <c r="C15" s="747">
        <v>961591.24000000022</v>
      </c>
    </row>
    <row r="16" spans="1:6" s="4" customFormat="1">
      <c r="A16" s="90">
        <v>11</v>
      </c>
      <c r="B16" s="44" t="s">
        <v>37</v>
      </c>
      <c r="C16" s="747"/>
    </row>
    <row r="17" spans="1:5" s="4" customFormat="1">
      <c r="A17" s="90">
        <v>12</v>
      </c>
      <c r="B17" s="43" t="s">
        <v>38</v>
      </c>
      <c r="C17" s="747"/>
    </row>
    <row r="18" spans="1:5" s="4" customFormat="1">
      <c r="A18" s="90">
        <v>13</v>
      </c>
      <c r="B18" s="43" t="s">
        <v>39</v>
      </c>
      <c r="C18" s="747"/>
    </row>
    <row r="19" spans="1:5" s="4" customFormat="1">
      <c r="A19" s="90">
        <v>14</v>
      </c>
      <c r="B19" s="43" t="s">
        <v>40</v>
      </c>
      <c r="C19" s="747"/>
    </row>
    <row r="20" spans="1:5" s="4" customFormat="1" ht="25.5">
      <c r="A20" s="90">
        <v>15</v>
      </c>
      <c r="B20" s="43" t="s">
        <v>41</v>
      </c>
      <c r="C20" s="747"/>
    </row>
    <row r="21" spans="1:5" s="4" customFormat="1" ht="25.5">
      <c r="A21" s="90">
        <v>16</v>
      </c>
      <c r="B21" s="42" t="s">
        <v>42</v>
      </c>
      <c r="C21" s="747"/>
    </row>
    <row r="22" spans="1:5" s="4" customFormat="1">
      <c r="A22" s="90">
        <v>17</v>
      </c>
      <c r="B22" s="91" t="s">
        <v>43</v>
      </c>
      <c r="C22" s="747"/>
    </row>
    <row r="23" spans="1:5" s="4" customFormat="1">
      <c r="A23" s="90">
        <v>18</v>
      </c>
      <c r="B23" s="617" t="s">
        <v>726</v>
      </c>
      <c r="C23" s="747"/>
    </row>
    <row r="24" spans="1:5" s="4" customFormat="1" ht="25.5">
      <c r="A24" s="90">
        <v>19</v>
      </c>
      <c r="B24" s="42" t="s">
        <v>44</v>
      </c>
      <c r="C24" s="747"/>
    </row>
    <row r="25" spans="1:5" s="4" customFormat="1" ht="25.5">
      <c r="A25" s="90">
        <v>20</v>
      </c>
      <c r="B25" s="42" t="s">
        <v>45</v>
      </c>
      <c r="C25" s="747"/>
    </row>
    <row r="26" spans="1:5" s="4" customFormat="1" ht="25.5">
      <c r="A26" s="90">
        <v>21</v>
      </c>
      <c r="B26" s="45" t="s">
        <v>46</v>
      </c>
      <c r="C26" s="747"/>
    </row>
    <row r="27" spans="1:5" s="4" customFormat="1">
      <c r="A27" s="90">
        <v>22</v>
      </c>
      <c r="B27" s="45" t="s">
        <v>47</v>
      </c>
      <c r="C27" s="747"/>
    </row>
    <row r="28" spans="1:5" s="4" customFormat="1" ht="25.5">
      <c r="A28" s="90">
        <v>23</v>
      </c>
      <c r="B28" s="45" t="s">
        <v>48</v>
      </c>
      <c r="C28" s="747"/>
    </row>
    <row r="29" spans="1:5" s="4" customFormat="1">
      <c r="A29" s="90">
        <v>24</v>
      </c>
      <c r="B29" s="51" t="s">
        <v>22</v>
      </c>
      <c r="C29" s="746">
        <f>C6-C12</f>
        <v>227571035.38426289</v>
      </c>
      <c r="E29" s="658">
        <f>C29-'1. key ratios'!C8</f>
        <v>0</v>
      </c>
    </row>
    <row r="30" spans="1:5" s="4" customFormat="1">
      <c r="A30" s="92"/>
      <c r="B30" s="46"/>
      <c r="C30" s="747"/>
    </row>
    <row r="31" spans="1:5" s="4" customFormat="1">
      <c r="A31" s="92">
        <v>25</v>
      </c>
      <c r="B31" s="51" t="s">
        <v>49</v>
      </c>
      <c r="C31" s="746">
        <f>C32+C35</f>
        <v>56054100</v>
      </c>
    </row>
    <row r="32" spans="1:5" s="4" customFormat="1">
      <c r="A32" s="92">
        <v>26</v>
      </c>
      <c r="B32" s="41" t="s">
        <v>50</v>
      </c>
      <c r="C32" s="748">
        <f>C33+C34</f>
        <v>56054100</v>
      </c>
    </row>
    <row r="33" spans="1:3" s="4" customFormat="1">
      <c r="A33" s="92">
        <v>27</v>
      </c>
      <c r="B33" s="124" t="s">
        <v>51</v>
      </c>
      <c r="C33" s="747">
        <v>56054100</v>
      </c>
    </row>
    <row r="34" spans="1:3" s="4" customFormat="1">
      <c r="A34" s="92">
        <v>28</v>
      </c>
      <c r="B34" s="124" t="s">
        <v>52</v>
      </c>
      <c r="C34" s="747"/>
    </row>
    <row r="35" spans="1:3" s="4" customFormat="1">
      <c r="A35" s="92">
        <v>29</v>
      </c>
      <c r="B35" s="41" t="s">
        <v>53</v>
      </c>
      <c r="C35" s="747"/>
    </row>
    <row r="36" spans="1:3" s="4" customFormat="1">
      <c r="A36" s="92">
        <v>30</v>
      </c>
      <c r="B36" s="51" t="s">
        <v>54</v>
      </c>
      <c r="C36" s="746">
        <f>SUM(C37:C41)</f>
        <v>0</v>
      </c>
    </row>
    <row r="37" spans="1:3" s="4" customFormat="1">
      <c r="A37" s="92">
        <v>31</v>
      </c>
      <c r="B37" s="42" t="s">
        <v>55</v>
      </c>
      <c r="C37" s="747"/>
    </row>
    <row r="38" spans="1:3" s="4" customFormat="1">
      <c r="A38" s="92">
        <v>32</v>
      </c>
      <c r="B38" s="43" t="s">
        <v>56</v>
      </c>
      <c r="C38" s="747"/>
    </row>
    <row r="39" spans="1:3" s="4" customFormat="1" ht="25.5">
      <c r="A39" s="92">
        <v>33</v>
      </c>
      <c r="B39" s="42" t="s">
        <v>57</v>
      </c>
      <c r="C39" s="747"/>
    </row>
    <row r="40" spans="1:3" s="4" customFormat="1" ht="25.5">
      <c r="A40" s="92">
        <v>34</v>
      </c>
      <c r="B40" s="42" t="s">
        <v>45</v>
      </c>
      <c r="C40" s="747"/>
    </row>
    <row r="41" spans="1:3" s="4" customFormat="1" ht="25.5">
      <c r="A41" s="92">
        <v>35</v>
      </c>
      <c r="B41" s="45" t="s">
        <v>58</v>
      </c>
      <c r="C41" s="747"/>
    </row>
    <row r="42" spans="1:3" s="4" customFormat="1">
      <c r="A42" s="92">
        <v>36</v>
      </c>
      <c r="B42" s="51" t="s">
        <v>23</v>
      </c>
      <c r="C42" s="746">
        <f>C31-C36</f>
        <v>56054100</v>
      </c>
    </row>
    <row r="43" spans="1:3" s="4" customFormat="1">
      <c r="A43" s="92"/>
      <c r="B43" s="46"/>
      <c r="C43" s="747"/>
    </row>
    <row r="44" spans="1:3" s="4" customFormat="1">
      <c r="A44" s="92">
        <v>37</v>
      </c>
      <c r="B44" s="52" t="s">
        <v>59</v>
      </c>
      <c r="C44" s="746">
        <f>SUM(C45:C47)</f>
        <v>55689057.600000001</v>
      </c>
    </row>
    <row r="45" spans="1:3" s="4" customFormat="1">
      <c r="A45" s="92">
        <v>38</v>
      </c>
      <c r="B45" s="41" t="s">
        <v>60</v>
      </c>
      <c r="C45" s="747">
        <v>55689057.600000001</v>
      </c>
    </row>
    <row r="46" spans="1:3" s="4" customFormat="1">
      <c r="A46" s="92">
        <v>39</v>
      </c>
      <c r="B46" s="41" t="s">
        <v>61</v>
      </c>
      <c r="C46" s="747"/>
    </row>
    <row r="47" spans="1:3" s="4" customFormat="1">
      <c r="A47" s="92">
        <v>40</v>
      </c>
      <c r="B47" s="618" t="s">
        <v>725</v>
      </c>
      <c r="C47" s="747"/>
    </row>
    <row r="48" spans="1:3" s="4" customFormat="1">
      <c r="A48" s="92">
        <v>41</v>
      </c>
      <c r="B48" s="52" t="s">
        <v>62</v>
      </c>
      <c r="C48" s="746">
        <f>SUM(C49:C52)</f>
        <v>0</v>
      </c>
    </row>
    <row r="49" spans="1:3" s="4" customFormat="1">
      <c r="A49" s="92">
        <v>42</v>
      </c>
      <c r="B49" s="42" t="s">
        <v>63</v>
      </c>
      <c r="C49" s="747"/>
    </row>
    <row r="50" spans="1:3" s="4" customFormat="1">
      <c r="A50" s="92">
        <v>43</v>
      </c>
      <c r="B50" s="43" t="s">
        <v>64</v>
      </c>
      <c r="C50" s="747"/>
    </row>
    <row r="51" spans="1:3" s="4" customFormat="1" ht="25.5">
      <c r="A51" s="92">
        <v>44</v>
      </c>
      <c r="B51" s="42" t="s">
        <v>65</v>
      </c>
      <c r="C51" s="747"/>
    </row>
    <row r="52" spans="1:3" s="4" customFormat="1" ht="25.5">
      <c r="A52" s="92">
        <v>45</v>
      </c>
      <c r="B52" s="42" t="s">
        <v>45</v>
      </c>
      <c r="C52" s="747"/>
    </row>
    <row r="53" spans="1:3" s="4" customFormat="1" ht="15.75" thickBot="1">
      <c r="A53" s="92">
        <v>46</v>
      </c>
      <c r="B53" s="93" t="s">
        <v>24</v>
      </c>
      <c r="C53" s="179">
        <f>C44-C48</f>
        <v>55689057.600000001</v>
      </c>
    </row>
    <row r="55" spans="1:3">
      <c r="C55" s="694">
        <f>C29+C31+C44-'1. key ratios'!C10</f>
        <v>0</v>
      </c>
    </row>
    <row r="56" spans="1:3">
      <c r="B56" s="2" t="s">
        <v>141</v>
      </c>
      <c r="C56" s="694"/>
    </row>
    <row r="57" spans="1:3">
      <c r="C57" s="694"/>
    </row>
    <row r="58" spans="1:3">
      <c r="C58" s="694"/>
    </row>
    <row r="59" spans="1:3">
      <c r="C59" s="694"/>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23"/>
  <sheetViews>
    <sheetView workbookViewId="0">
      <selection activeCell="C7" sqref="C7:C17"/>
    </sheetView>
  </sheetViews>
  <sheetFormatPr defaultColWidth="9.28515625" defaultRowHeight="12.75"/>
  <cols>
    <col min="1" max="1" width="10.7109375" style="226" bestFit="1" customWidth="1"/>
    <col min="2" max="2" width="59" style="226" customWidth="1"/>
    <col min="3" max="3" width="16.7109375" style="226" bestFit="1" customWidth="1"/>
    <col min="4" max="4" width="22.28515625" style="226" customWidth="1"/>
    <col min="5" max="5" width="15" style="226" customWidth="1"/>
    <col min="6" max="16384" width="9.28515625" style="226"/>
  </cols>
  <sheetData>
    <row r="1" spans="1:7" ht="15">
      <c r="A1" s="17" t="s">
        <v>108</v>
      </c>
      <c r="B1" s="16" t="str">
        <f>Info!C2</f>
        <v>JSC "VTB Bank (Georgia)"</v>
      </c>
    </row>
    <row r="2" spans="1:7" s="21" customFormat="1" ht="15.75" customHeight="1">
      <c r="A2" s="21" t="s">
        <v>109</v>
      </c>
      <c r="B2" s="336">
        <f>Info!D2</f>
        <v>45747</v>
      </c>
    </row>
    <row r="3" spans="1:7" s="21" customFormat="1" ht="15.75" customHeight="1"/>
    <row r="4" spans="1:7" ht="13.5" thickBot="1">
      <c r="A4" s="227" t="s">
        <v>357</v>
      </c>
      <c r="B4" s="256" t="s">
        <v>358</v>
      </c>
    </row>
    <row r="5" spans="1:7" s="257" customFormat="1">
      <c r="A5" s="833" t="s">
        <v>359</v>
      </c>
      <c r="B5" s="834"/>
      <c r="C5" s="246" t="s">
        <v>360</v>
      </c>
      <c r="D5" s="247" t="s">
        <v>361</v>
      </c>
    </row>
    <row r="6" spans="1:7" s="258" customFormat="1">
      <c r="A6" s="248">
        <v>1</v>
      </c>
      <c r="B6" s="249" t="s">
        <v>362</v>
      </c>
      <c r="C6" s="249"/>
      <c r="D6" s="250"/>
    </row>
    <row r="7" spans="1:7" s="258" customFormat="1">
      <c r="A7" s="251" t="s">
        <v>363</v>
      </c>
      <c r="B7" s="252" t="s">
        <v>364</v>
      </c>
      <c r="C7" s="749">
        <v>4.4999999999999998E-2</v>
      </c>
      <c r="D7" s="657">
        <f>C7*'5. RWA'!$C$13</f>
        <v>23803729.205065422</v>
      </c>
    </row>
    <row r="8" spans="1:7" s="258" customFormat="1">
      <c r="A8" s="251" t="s">
        <v>365</v>
      </c>
      <c r="B8" s="252" t="s">
        <v>366</v>
      </c>
      <c r="C8" s="750">
        <v>0.06</v>
      </c>
      <c r="D8" s="657">
        <f>C8*'5. RWA'!$C$13</f>
        <v>31738305.606753893</v>
      </c>
      <c r="G8" s="795"/>
    </row>
    <row r="9" spans="1:7" s="258" customFormat="1">
      <c r="A9" s="251" t="s">
        <v>367</v>
      </c>
      <c r="B9" s="252" t="s">
        <v>368</v>
      </c>
      <c r="C9" s="750">
        <v>0.08</v>
      </c>
      <c r="D9" s="657">
        <f>C9*'5. RWA'!$C$13</f>
        <v>42317740.809005193</v>
      </c>
      <c r="G9" s="795"/>
    </row>
    <row r="10" spans="1:7" s="258" customFormat="1">
      <c r="A10" s="248" t="s">
        <v>369</v>
      </c>
      <c r="B10" s="249" t="s">
        <v>370</v>
      </c>
      <c r="C10" s="751"/>
      <c r="D10" s="656"/>
      <c r="G10" s="795"/>
    </row>
    <row r="11" spans="1:7" s="259" customFormat="1">
      <c r="A11" s="253" t="s">
        <v>371</v>
      </c>
      <c r="B11" s="254" t="s">
        <v>433</v>
      </c>
      <c r="C11" s="703">
        <v>2.5000000000000001E-2</v>
      </c>
      <c r="D11" s="655">
        <f>C11*'5. RWA'!$C$13</f>
        <v>13224294.002814123</v>
      </c>
    </row>
    <row r="12" spans="1:7" s="259" customFormat="1">
      <c r="A12" s="253" t="s">
        <v>372</v>
      </c>
      <c r="B12" s="254" t="s">
        <v>373</v>
      </c>
      <c r="C12" s="703">
        <v>2.5000000000000001E-3</v>
      </c>
      <c r="D12" s="655">
        <f>C12*'5. RWA'!$C$13</f>
        <v>1322429.4002814123</v>
      </c>
    </row>
    <row r="13" spans="1:7" s="259" customFormat="1">
      <c r="A13" s="253" t="s">
        <v>374</v>
      </c>
      <c r="B13" s="254" t="s">
        <v>375</v>
      </c>
      <c r="C13" s="703"/>
      <c r="D13" s="655">
        <f>C13*'5. RWA'!$C$13</f>
        <v>0</v>
      </c>
    </row>
    <row r="14" spans="1:7" s="258" customFormat="1">
      <c r="A14" s="248" t="s">
        <v>376</v>
      </c>
      <c r="B14" s="249" t="s">
        <v>431</v>
      </c>
      <c r="C14" s="752"/>
      <c r="D14" s="656"/>
    </row>
    <row r="15" spans="1:7" s="258" customFormat="1">
      <c r="A15" s="268" t="s">
        <v>379</v>
      </c>
      <c r="B15" s="254" t="s">
        <v>432</v>
      </c>
      <c r="C15" s="703">
        <v>0.15564585269977871</v>
      </c>
      <c r="D15" s="655">
        <f>C15*'5. RWA'!$C$13</f>
        <v>82332260.656822965</v>
      </c>
    </row>
    <row r="16" spans="1:7" s="258" customFormat="1">
      <c r="A16" s="268" t="s">
        <v>380</v>
      </c>
      <c r="B16" s="254" t="s">
        <v>382</v>
      </c>
      <c r="C16" s="703">
        <v>0.17049039176546768</v>
      </c>
      <c r="D16" s="655">
        <f>C16*'5. RWA'!$C$13</f>
        <v>90184602.614460185</v>
      </c>
    </row>
    <row r="17" spans="1:6" s="258" customFormat="1">
      <c r="A17" s="268" t="s">
        <v>381</v>
      </c>
      <c r="B17" s="254" t="s">
        <v>429</v>
      </c>
      <c r="C17" s="703">
        <v>0.19002268000979525</v>
      </c>
      <c r="D17" s="655">
        <f>C17*'5. RWA'!$C$13</f>
        <v>100516631.50608809</v>
      </c>
    </row>
    <row r="18" spans="1:6" s="257" customFormat="1">
      <c r="A18" s="835" t="s">
        <v>430</v>
      </c>
      <c r="B18" s="836"/>
      <c r="C18" s="303" t="s">
        <v>360</v>
      </c>
      <c r="D18" s="654" t="s">
        <v>361</v>
      </c>
    </row>
    <row r="19" spans="1:6" s="258" customFormat="1">
      <c r="A19" s="255">
        <v>4</v>
      </c>
      <c r="B19" s="254" t="s">
        <v>22</v>
      </c>
      <c r="C19" s="302">
        <f>C7+C11+C12+C13+C15</f>
        <v>0.22814585269977872</v>
      </c>
      <c r="D19" s="657">
        <f>C19*'5. RWA'!$C$13</f>
        <v>120682713.26498392</v>
      </c>
      <c r="E19" s="704">
        <f>D19-'1. key ratios'!C11</f>
        <v>0</v>
      </c>
    </row>
    <row r="20" spans="1:6" s="258" customFormat="1">
      <c r="A20" s="255">
        <v>5</v>
      </c>
      <c r="B20" s="254" t="s">
        <v>86</v>
      </c>
      <c r="C20" s="302">
        <f>C8+C11+C12+C13+C16</f>
        <v>0.25799039176546767</v>
      </c>
      <c r="D20" s="657">
        <f>C20*'5. RWA'!$C$13</f>
        <v>136469631.6243096</v>
      </c>
      <c r="E20" s="704">
        <f>D20-'1. key ratios'!C12</f>
        <v>0</v>
      </c>
    </row>
    <row r="21" spans="1:6" s="258" customFormat="1" ht="13.5" thickBot="1">
      <c r="A21" s="260" t="s">
        <v>377</v>
      </c>
      <c r="B21" s="261" t="s">
        <v>85</v>
      </c>
      <c r="C21" s="304">
        <f>C9+C11+C12+C13+C17</f>
        <v>0.29752268000979526</v>
      </c>
      <c r="D21" s="653">
        <f>C21*'5. RWA'!$C$13</f>
        <v>157381095.71818882</v>
      </c>
      <c r="E21" s="704">
        <f>D21-'1. key ratios'!C13</f>
        <v>0</v>
      </c>
    </row>
    <row r="22" spans="1:6">
      <c r="F22" s="227"/>
    </row>
    <row r="23" spans="1:6" ht="63.75">
      <c r="B23" s="23" t="s">
        <v>434</v>
      </c>
    </row>
  </sheetData>
  <mergeCells count="2">
    <mergeCell ref="A5:B5"/>
    <mergeCell ref="A18:B18"/>
  </mergeCells>
  <conditionalFormatting sqref="C21">
    <cfRule type="cellIs" dxfId="2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9"/>
  <sheetViews>
    <sheetView zoomScale="70" zoomScaleNormal="70" workbookViewId="0">
      <pane xSplit="1" ySplit="5" topLeftCell="B40" activePane="bottomRight" state="frozen"/>
      <selection activeCell="B2" sqref="B2"/>
      <selection pane="topRight" activeCell="B2" sqref="B2"/>
      <selection pane="bottomLeft" activeCell="B2" sqref="B2"/>
      <selection pane="bottomRight" activeCell="C20" sqref="C20"/>
    </sheetView>
  </sheetViews>
  <sheetFormatPr defaultRowHeight="15.75"/>
  <cols>
    <col min="1" max="1" width="10.7109375" style="38" customWidth="1"/>
    <col min="2" max="2" width="91.7109375" style="38" customWidth="1"/>
    <col min="3" max="3" width="53.28515625" style="649" customWidth="1"/>
    <col min="4" max="4" width="32.28515625" style="38" customWidth="1"/>
    <col min="5" max="5" width="9.42578125" customWidth="1"/>
  </cols>
  <sheetData>
    <row r="1" spans="1:6">
      <c r="A1" s="17" t="s">
        <v>108</v>
      </c>
      <c r="B1" s="19" t="str">
        <f>Info!C2</f>
        <v>JSC "VTB Bank (Georgia)"</v>
      </c>
      <c r="E1" s="2"/>
      <c r="F1" s="2"/>
    </row>
    <row r="2" spans="1:6" s="21" customFormat="1" ht="15.75" customHeight="1">
      <c r="A2" s="21" t="s">
        <v>109</v>
      </c>
      <c r="B2" s="336">
        <f>Info!D2</f>
        <v>45747</v>
      </c>
      <c r="C2" s="648"/>
    </row>
    <row r="3" spans="1:6" s="21" customFormat="1" ht="15.75" customHeight="1">
      <c r="A3" s="26"/>
      <c r="C3" s="648"/>
    </row>
    <row r="4" spans="1:6" s="21" customFormat="1" ht="15.75" customHeight="1" thickBot="1">
      <c r="A4" s="21" t="s">
        <v>258</v>
      </c>
      <c r="B4" s="147" t="s">
        <v>172</v>
      </c>
      <c r="C4" s="648"/>
      <c r="D4" s="149" t="s">
        <v>87</v>
      </c>
    </row>
    <row r="5" spans="1:6" ht="25.5">
      <c r="A5" s="99" t="s">
        <v>25</v>
      </c>
      <c r="B5" s="100" t="s">
        <v>144</v>
      </c>
      <c r="C5" s="647" t="s">
        <v>858</v>
      </c>
      <c r="D5" s="148" t="s">
        <v>173</v>
      </c>
    </row>
    <row r="6" spans="1:6">
      <c r="A6" s="445">
        <v>1</v>
      </c>
      <c r="B6" s="402" t="s">
        <v>843</v>
      </c>
      <c r="C6" s="646">
        <f>SUM(C7:C9)</f>
        <v>182687539.47370002</v>
      </c>
      <c r="D6" s="94"/>
      <c r="E6" s="7"/>
    </row>
    <row r="7" spans="1:6">
      <c r="A7" s="445">
        <v>1.1000000000000001</v>
      </c>
      <c r="B7" s="403" t="s">
        <v>96</v>
      </c>
      <c r="C7" s="645">
        <f>'2. SOFP'!E8</f>
        <v>175788349.9339</v>
      </c>
      <c r="D7" s="95"/>
      <c r="E7" s="7"/>
    </row>
    <row r="8" spans="1:6">
      <c r="A8" s="445">
        <v>1.2</v>
      </c>
      <c r="B8" s="403" t="s">
        <v>97</v>
      </c>
      <c r="C8" s="645">
        <f>'2. SOFP'!E9</f>
        <v>351.36</v>
      </c>
      <c r="D8" s="95"/>
      <c r="E8" s="7"/>
    </row>
    <row r="9" spans="1:6">
      <c r="A9" s="445">
        <v>1.3</v>
      </c>
      <c r="B9" s="403" t="s">
        <v>98</v>
      </c>
      <c r="C9" s="645">
        <f>'2. SOFP'!E10</f>
        <v>6898838.1798</v>
      </c>
      <c r="D9" s="95"/>
      <c r="E9" s="7"/>
    </row>
    <row r="10" spans="1:6">
      <c r="A10" s="445">
        <v>2</v>
      </c>
      <c r="B10" s="404" t="s">
        <v>730</v>
      </c>
      <c r="C10" s="644"/>
      <c r="D10" s="95"/>
      <c r="E10" s="7"/>
    </row>
    <row r="11" spans="1:6">
      <c r="A11" s="445">
        <v>2.1</v>
      </c>
      <c r="B11" s="405" t="s">
        <v>731</v>
      </c>
      <c r="C11" s="643"/>
      <c r="D11" s="96"/>
      <c r="E11" s="8"/>
    </row>
    <row r="12" spans="1:6" ht="23.85" customHeight="1">
      <c r="A12" s="445">
        <v>3</v>
      </c>
      <c r="B12" s="406" t="s">
        <v>732</v>
      </c>
      <c r="C12" s="642"/>
      <c r="D12" s="96"/>
      <c r="E12" s="8"/>
    </row>
    <row r="13" spans="1:6" ht="23.1" customHeight="1">
      <c r="A13" s="445">
        <v>4</v>
      </c>
      <c r="B13" s="407" t="s">
        <v>733</v>
      </c>
      <c r="C13" s="642"/>
      <c r="D13" s="96"/>
      <c r="E13" s="8"/>
    </row>
    <row r="14" spans="1:6">
      <c r="A14" s="445">
        <v>5</v>
      </c>
      <c r="B14" s="407" t="s">
        <v>734</v>
      </c>
      <c r="C14" s="642">
        <f>SUM(C15:C17)</f>
        <v>54000</v>
      </c>
      <c r="D14" s="96"/>
      <c r="E14" s="8"/>
    </row>
    <row r="15" spans="1:6">
      <c r="A15" s="445">
        <v>5.0999999999999996</v>
      </c>
      <c r="B15" s="408" t="s">
        <v>735</v>
      </c>
      <c r="C15" s="641">
        <f>'2. SOFP'!C16</f>
        <v>54000</v>
      </c>
      <c r="D15" s="96"/>
      <c r="E15" s="7"/>
    </row>
    <row r="16" spans="1:6">
      <c r="A16" s="445">
        <v>5.2</v>
      </c>
      <c r="B16" s="408" t="s">
        <v>569</v>
      </c>
      <c r="C16" s="645"/>
      <c r="D16" s="95"/>
      <c r="E16" s="7"/>
    </row>
    <row r="17" spans="1:5">
      <c r="A17" s="445">
        <v>5.3</v>
      </c>
      <c r="B17" s="408" t="s">
        <v>736</v>
      </c>
      <c r="C17" s="645"/>
      <c r="D17" s="95"/>
      <c r="E17" s="7"/>
    </row>
    <row r="18" spans="1:5">
      <c r="A18" s="445">
        <v>6</v>
      </c>
      <c r="B18" s="406" t="s">
        <v>737</v>
      </c>
      <c r="C18" s="644">
        <f>SUM(C19:C20)</f>
        <v>163921724.05384371</v>
      </c>
      <c r="D18" s="95"/>
      <c r="E18" s="7"/>
    </row>
    <row r="19" spans="1:5">
      <c r="A19" s="445">
        <v>6.1</v>
      </c>
      <c r="B19" s="408" t="s">
        <v>569</v>
      </c>
      <c r="C19" s="643"/>
      <c r="D19" s="95"/>
      <c r="E19" s="7"/>
    </row>
    <row r="20" spans="1:5">
      <c r="A20" s="445">
        <v>6.2</v>
      </c>
      <c r="B20" s="408" t="s">
        <v>736</v>
      </c>
      <c r="C20" s="643">
        <f>'2. SOFP'!E21</f>
        <v>163921724.05384371</v>
      </c>
      <c r="D20" s="95"/>
      <c r="E20" s="7"/>
    </row>
    <row r="21" spans="1:5">
      <c r="A21" s="445">
        <v>7</v>
      </c>
      <c r="B21" s="409" t="s">
        <v>738</v>
      </c>
      <c r="C21" s="642">
        <f>'2. SOFP'!E22</f>
        <v>0</v>
      </c>
      <c r="D21" s="95"/>
      <c r="E21" s="7"/>
    </row>
    <row r="22" spans="1:5">
      <c r="A22" s="445">
        <v>8</v>
      </c>
      <c r="B22" s="410" t="s">
        <v>739</v>
      </c>
      <c r="C22" s="644"/>
      <c r="D22" s="95"/>
      <c r="E22" s="7"/>
    </row>
    <row r="23" spans="1:5">
      <c r="A23" s="445">
        <v>9</v>
      </c>
      <c r="B23" s="407" t="s">
        <v>740</v>
      </c>
      <c r="C23" s="644">
        <f>SUM(C24:C25)</f>
        <v>61637118.220000014</v>
      </c>
      <c r="D23" s="472"/>
      <c r="E23" s="7"/>
    </row>
    <row r="24" spans="1:5">
      <c r="A24" s="445">
        <v>9.1</v>
      </c>
      <c r="B24" s="411" t="s">
        <v>741</v>
      </c>
      <c r="C24" s="640">
        <f>'2. SOFP'!C25</f>
        <v>33736792.219999999</v>
      </c>
      <c r="D24" s="97"/>
      <c r="E24" s="7"/>
    </row>
    <row r="25" spans="1:5">
      <c r="A25" s="445">
        <v>9.1999999999999993</v>
      </c>
      <c r="B25" s="411" t="s">
        <v>742</v>
      </c>
      <c r="C25" s="640">
        <f>'2. SOFP'!C26</f>
        <v>27900326.000000019</v>
      </c>
      <c r="D25" s="471"/>
      <c r="E25" s="6"/>
    </row>
    <row r="26" spans="1:5">
      <c r="A26" s="445">
        <v>10</v>
      </c>
      <c r="B26" s="407" t="s">
        <v>36</v>
      </c>
      <c r="C26" s="639">
        <f>SUM(C27:C28)</f>
        <v>961591.24000000022</v>
      </c>
      <c r="D26" s="613" t="s">
        <v>935</v>
      </c>
      <c r="E26" s="7"/>
    </row>
    <row r="27" spans="1:5">
      <c r="A27" s="445">
        <v>10.1</v>
      </c>
      <c r="B27" s="411" t="s">
        <v>743</v>
      </c>
      <c r="C27" s="645">
        <f>'7. LI1'!C29</f>
        <v>0</v>
      </c>
      <c r="D27" s="95"/>
      <c r="E27" s="7"/>
    </row>
    <row r="28" spans="1:5">
      <c r="A28" s="445">
        <v>10.199999999999999</v>
      </c>
      <c r="B28" s="411" t="s">
        <v>744</v>
      </c>
      <c r="C28" s="640">
        <f>'2. SOFP'!C29</f>
        <v>961591.24000000022</v>
      </c>
      <c r="D28" s="95"/>
      <c r="E28" s="7"/>
    </row>
    <row r="29" spans="1:5">
      <c r="A29" s="445">
        <v>11</v>
      </c>
      <c r="B29" s="407" t="s">
        <v>745</v>
      </c>
      <c r="C29" s="644">
        <f>SUM(C30:C31)</f>
        <v>2427219.54</v>
      </c>
      <c r="D29" s="95"/>
      <c r="E29" s="7"/>
    </row>
    <row r="30" spans="1:5">
      <c r="A30" s="445">
        <v>11.1</v>
      </c>
      <c r="B30" s="411" t="s">
        <v>746</v>
      </c>
      <c r="C30" s="640">
        <f>'2. SOFP'!C31</f>
        <v>2144074.54</v>
      </c>
      <c r="D30" s="95"/>
      <c r="E30" s="7"/>
    </row>
    <row r="31" spans="1:5">
      <c r="A31" s="445">
        <v>11.2</v>
      </c>
      <c r="B31" s="411" t="s">
        <v>747</v>
      </c>
      <c r="C31" s="640">
        <f>'2. SOFP'!C32</f>
        <v>283145</v>
      </c>
      <c r="D31" s="95"/>
      <c r="E31" s="7"/>
    </row>
    <row r="32" spans="1:5">
      <c r="A32" s="445">
        <v>13</v>
      </c>
      <c r="B32" s="407" t="s">
        <v>99</v>
      </c>
      <c r="C32" s="644">
        <f>'2. SOFP'!E33</f>
        <v>37501815.872226007</v>
      </c>
      <c r="D32" s="95"/>
      <c r="E32" s="7"/>
    </row>
    <row r="33" spans="1:5">
      <c r="A33" s="445">
        <v>13.1</v>
      </c>
      <c r="B33" s="412" t="s">
        <v>748</v>
      </c>
      <c r="C33" s="640">
        <f>'2. SOFP'!C34</f>
        <v>21733569</v>
      </c>
      <c r="D33" s="95"/>
      <c r="E33" s="7"/>
    </row>
    <row r="34" spans="1:5">
      <c r="A34" s="445">
        <v>13.2</v>
      </c>
      <c r="B34" s="412" t="s">
        <v>749</v>
      </c>
      <c r="C34" s="640"/>
      <c r="D34" s="97"/>
      <c r="E34" s="7"/>
    </row>
    <row r="35" spans="1:5">
      <c r="A35" s="445">
        <v>14</v>
      </c>
      <c r="B35" s="413" t="s">
        <v>750</v>
      </c>
      <c r="C35" s="638">
        <f>SUM(C6,C10,C12,C13,C14,C18,C21,C22,C23,C26,C29,C32)</f>
        <v>449191008.39976978</v>
      </c>
      <c r="D35" s="97"/>
      <c r="E35" s="7"/>
    </row>
    <row r="36" spans="1:5">
      <c r="A36" s="445"/>
      <c r="B36" s="414" t="s">
        <v>104</v>
      </c>
      <c r="C36" s="637"/>
      <c r="D36" s="98"/>
      <c r="E36" s="7"/>
    </row>
    <row r="37" spans="1:5">
      <c r="A37" s="445">
        <v>15</v>
      </c>
      <c r="B37" s="415" t="s">
        <v>751</v>
      </c>
      <c r="C37" s="636"/>
      <c r="D37" s="471"/>
      <c r="E37" s="6"/>
    </row>
    <row r="38" spans="1:5">
      <c r="A38" s="445">
        <v>15.1</v>
      </c>
      <c r="B38" s="416" t="s">
        <v>731</v>
      </c>
      <c r="C38" s="645"/>
      <c r="D38" s="95"/>
      <c r="E38" s="7"/>
    </row>
    <row r="39" spans="1:5" ht="21">
      <c r="A39" s="445">
        <v>16</v>
      </c>
      <c r="B39" s="409" t="s">
        <v>752</v>
      </c>
      <c r="C39" s="644"/>
      <c r="D39" s="95"/>
      <c r="E39" s="7"/>
    </row>
    <row r="40" spans="1:5">
      <c r="A40" s="445">
        <v>17</v>
      </c>
      <c r="B40" s="409" t="s">
        <v>753</v>
      </c>
      <c r="C40" s="644">
        <f>SUM(C41:C44)</f>
        <v>12996861.940000001</v>
      </c>
      <c r="D40" s="95"/>
      <c r="E40" s="7"/>
    </row>
    <row r="41" spans="1:5">
      <c r="A41" s="445">
        <v>17.100000000000001</v>
      </c>
      <c r="B41" s="417" t="s">
        <v>754</v>
      </c>
      <c r="C41" s="645">
        <f>'2. SOFP'!E42</f>
        <v>12996861.940000001</v>
      </c>
      <c r="D41" s="95"/>
      <c r="E41" s="7"/>
    </row>
    <row r="42" spans="1:5">
      <c r="A42" s="460">
        <v>17.2</v>
      </c>
      <c r="B42" s="461" t="s">
        <v>100</v>
      </c>
      <c r="C42" s="640"/>
      <c r="D42" s="97"/>
      <c r="E42" s="7"/>
    </row>
    <row r="43" spans="1:5">
      <c r="A43" s="445">
        <v>17.3</v>
      </c>
      <c r="B43" s="462" t="s">
        <v>755</v>
      </c>
      <c r="C43" s="650"/>
      <c r="D43" s="463"/>
      <c r="E43" s="7"/>
    </row>
    <row r="44" spans="1:5">
      <c r="A44" s="445">
        <v>17.399999999999999</v>
      </c>
      <c r="B44" s="462" t="s">
        <v>756</v>
      </c>
      <c r="C44" s="650"/>
      <c r="D44" s="463"/>
      <c r="E44" s="7"/>
    </row>
    <row r="45" spans="1:5">
      <c r="A45" s="445">
        <v>18</v>
      </c>
      <c r="B45" s="464" t="s">
        <v>757</v>
      </c>
      <c r="C45" s="635">
        <f>'2. SOFP'!E46</f>
        <v>7911</v>
      </c>
      <c r="D45" s="470"/>
      <c r="E45" s="6"/>
    </row>
    <row r="46" spans="1:5">
      <c r="A46" s="445">
        <v>19</v>
      </c>
      <c r="B46" s="464" t="s">
        <v>758</v>
      </c>
      <c r="C46" s="652">
        <f>SUM(C47:C48)</f>
        <v>231821.04</v>
      </c>
      <c r="D46" s="465"/>
    </row>
    <row r="47" spans="1:5">
      <c r="A47" s="445">
        <v>19.100000000000001</v>
      </c>
      <c r="B47" s="466" t="s">
        <v>759</v>
      </c>
      <c r="C47" s="650">
        <f>'2. SOFP'!E48</f>
        <v>231821.04</v>
      </c>
      <c r="D47" s="465"/>
    </row>
    <row r="48" spans="1:5">
      <c r="A48" s="445">
        <v>19.2</v>
      </c>
      <c r="B48" s="466" t="s">
        <v>760</v>
      </c>
      <c r="C48" s="650"/>
      <c r="D48" s="465"/>
    </row>
    <row r="49" spans="1:4">
      <c r="A49" s="445">
        <v>20</v>
      </c>
      <c r="B49" s="422" t="s">
        <v>101</v>
      </c>
      <c r="C49" s="651">
        <f>'2. SOFP'!E50</f>
        <v>118830815.2652</v>
      </c>
      <c r="D49" s="465"/>
    </row>
    <row r="50" spans="1:4">
      <c r="A50" s="445">
        <v>21</v>
      </c>
      <c r="B50" s="423" t="s">
        <v>89</v>
      </c>
      <c r="C50" s="651">
        <f>'2. SOFP'!E51</f>
        <v>20091765.8079</v>
      </c>
      <c r="D50" s="465"/>
    </row>
    <row r="51" spans="1:4">
      <c r="A51" s="445">
        <v>21.1</v>
      </c>
      <c r="B51" s="418" t="s">
        <v>761</v>
      </c>
      <c r="C51" s="650">
        <f>'2. SOFP'!E52</f>
        <v>1060412.6299999999</v>
      </c>
      <c r="D51" s="465"/>
    </row>
    <row r="52" spans="1:4">
      <c r="A52" s="445">
        <v>22</v>
      </c>
      <c r="B52" s="422" t="s">
        <v>762</v>
      </c>
      <c r="C52" s="651">
        <f>SUM(C37,C39,C40,C45,C46,C49,C50)</f>
        <v>152159175.05310002</v>
      </c>
      <c r="D52" s="465"/>
    </row>
    <row r="53" spans="1:4">
      <c r="A53" s="445"/>
      <c r="B53" s="424" t="s">
        <v>763</v>
      </c>
      <c r="C53" s="650"/>
      <c r="D53" s="465"/>
    </row>
    <row r="54" spans="1:4">
      <c r="A54" s="445">
        <v>23</v>
      </c>
      <c r="B54" s="422" t="s">
        <v>105</v>
      </c>
      <c r="C54" s="651">
        <v>209008277</v>
      </c>
      <c r="D54" s="465"/>
    </row>
    <row r="55" spans="1:4">
      <c r="A55" s="445">
        <v>24</v>
      </c>
      <c r="B55" s="422" t="s">
        <v>764</v>
      </c>
      <c r="C55" s="651">
        <v>0</v>
      </c>
      <c r="D55" s="465"/>
    </row>
    <row r="56" spans="1:4">
      <c r="A56" s="445">
        <v>25</v>
      </c>
      <c r="B56" s="425" t="s">
        <v>102</v>
      </c>
      <c r="C56" s="651"/>
      <c r="D56" s="465"/>
    </row>
    <row r="57" spans="1:4">
      <c r="A57" s="445">
        <v>26</v>
      </c>
      <c r="B57" s="464" t="s">
        <v>765</v>
      </c>
      <c r="C57" s="651"/>
      <c r="D57" s="465"/>
    </row>
    <row r="58" spans="1:4">
      <c r="A58" s="445">
        <v>27</v>
      </c>
      <c r="B58" s="464" t="s">
        <v>766</v>
      </c>
      <c r="C58" s="651">
        <f>SUM(C59:C60)</f>
        <v>56054100</v>
      </c>
      <c r="D58" s="465"/>
    </row>
    <row r="59" spans="1:4">
      <c r="A59" s="445">
        <v>27.1</v>
      </c>
      <c r="B59" s="467" t="s">
        <v>767</v>
      </c>
      <c r="C59" s="650"/>
      <c r="D59" s="465"/>
    </row>
    <row r="60" spans="1:4">
      <c r="A60" s="445">
        <v>27.2</v>
      </c>
      <c r="B60" s="462" t="s">
        <v>768</v>
      </c>
      <c r="C60" s="650">
        <f>'2. SOFP'!E59</f>
        <v>56054100</v>
      </c>
      <c r="D60" s="465"/>
    </row>
    <row r="61" spans="1:4">
      <c r="A61" s="445">
        <v>28</v>
      </c>
      <c r="B61" s="423" t="s">
        <v>769</v>
      </c>
      <c r="C61" s="651"/>
      <c r="D61" s="465"/>
    </row>
    <row r="62" spans="1:4">
      <c r="A62" s="445">
        <v>29</v>
      </c>
      <c r="B62" s="464" t="s">
        <v>770</v>
      </c>
      <c r="C62" s="651">
        <f>SUM(C63:C65)</f>
        <v>12445108</v>
      </c>
      <c r="D62" s="465"/>
    </row>
    <row r="63" spans="1:4">
      <c r="A63" s="445">
        <v>29.1</v>
      </c>
      <c r="B63" s="468" t="s">
        <v>771</v>
      </c>
      <c r="C63" s="650">
        <f>'2. SOFP'!E63</f>
        <v>12445108</v>
      </c>
      <c r="D63" s="465"/>
    </row>
    <row r="64" spans="1:4" ht="24" customHeight="1">
      <c r="A64" s="445">
        <v>29.2</v>
      </c>
      <c r="B64" s="467" t="s">
        <v>772</v>
      </c>
      <c r="C64" s="650"/>
      <c r="D64" s="465"/>
    </row>
    <row r="65" spans="1:4" ht="22.35" customHeight="1">
      <c r="A65" s="445">
        <v>29.3</v>
      </c>
      <c r="B65" s="469" t="s">
        <v>773</v>
      </c>
      <c r="C65" s="650"/>
      <c r="D65" s="465"/>
    </row>
    <row r="66" spans="1:4">
      <c r="A66" s="445">
        <v>30</v>
      </c>
      <c r="B66" s="428" t="s">
        <v>103</v>
      </c>
      <c r="C66" s="651">
        <f>'2. SOFP'!E67</f>
        <v>19524349.624262907</v>
      </c>
      <c r="D66" s="465"/>
    </row>
    <row r="67" spans="1:4">
      <c r="A67" s="445">
        <v>31</v>
      </c>
      <c r="B67" s="427" t="s">
        <v>774</v>
      </c>
      <c r="C67" s="651">
        <f>SUM(C54,C55,C56,C57,C58,C61,C62,C66)</f>
        <v>297031834.62426293</v>
      </c>
      <c r="D67" s="465"/>
    </row>
    <row r="68" spans="1:4">
      <c r="A68" s="445">
        <v>32</v>
      </c>
      <c r="B68" s="428" t="s">
        <v>775</v>
      </c>
      <c r="C68" s="651">
        <f>SUM(C52,C67)</f>
        <v>449191009.67736292</v>
      </c>
      <c r="D68" s="465"/>
    </row>
    <row r="69" spans="1:4">
      <c r="C69" s="649">
        <f>C68-C35</f>
        <v>1.2775931358337402</v>
      </c>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2"/>
  <sheetViews>
    <sheetView zoomScale="50" zoomScaleNormal="50" workbookViewId="0">
      <pane xSplit="2" ySplit="7" topLeftCell="C8" activePane="bottomRight" state="frozen"/>
      <selection activeCell="B2" sqref="B2"/>
      <selection pane="topRight" activeCell="B2" sqref="B2"/>
      <selection pane="bottomLeft" activeCell="B2" sqref="B2"/>
      <selection pane="bottomRight" activeCell="C8" sqref="C8:R21"/>
    </sheetView>
  </sheetViews>
  <sheetFormatPr defaultColWidth="9.28515625" defaultRowHeight="12.75"/>
  <cols>
    <col min="1" max="1" width="10.5703125" style="2" bestFit="1" customWidth="1"/>
    <col min="2" max="2" width="97" style="2" bestFit="1" customWidth="1"/>
    <col min="3" max="3" width="16" style="2" bestFit="1" customWidth="1"/>
    <col min="4" max="4" width="13.28515625" style="2" bestFit="1" customWidth="1"/>
    <col min="5" max="5" width="14" style="2" bestFit="1" customWidth="1"/>
    <col min="6" max="6" width="13.28515625" style="2" bestFit="1" customWidth="1"/>
    <col min="7" max="7" width="13.7109375" style="2" bestFit="1" customWidth="1"/>
    <col min="8" max="8" width="13.28515625" style="2" bestFit="1" customWidth="1"/>
    <col min="9" max="9" width="14" style="2" bestFit="1" customWidth="1"/>
    <col min="10" max="10" width="13.28515625" style="2" bestFit="1" customWidth="1"/>
    <col min="11" max="11" width="9.5703125" style="2" bestFit="1" customWidth="1"/>
    <col min="12" max="12" width="13.28515625" style="2" bestFit="1" customWidth="1"/>
    <col min="13" max="13" width="16" style="2" bestFit="1" customWidth="1"/>
    <col min="14" max="14" width="13.28515625" style="2" bestFit="1" customWidth="1"/>
    <col min="15" max="15" width="14.85546875" style="2" bestFit="1" customWidth="1"/>
    <col min="16" max="16" width="13.28515625" style="2" bestFit="1" customWidth="1"/>
    <col min="17" max="17" width="12.42578125" style="2" bestFit="1" customWidth="1"/>
    <col min="18" max="18" width="13.28515625" style="2" bestFit="1" customWidth="1"/>
    <col min="19" max="19" width="31.7109375" style="2" bestFit="1" customWidth="1"/>
    <col min="20" max="16384" width="9.28515625" style="12"/>
  </cols>
  <sheetData>
    <row r="1" spans="1:19">
      <c r="A1" s="2" t="s">
        <v>108</v>
      </c>
      <c r="B1" s="226" t="str">
        <f>Info!C2</f>
        <v>JSC "VTB Bank (Georgia)"</v>
      </c>
    </row>
    <row r="2" spans="1:19">
      <c r="A2" s="2" t="s">
        <v>109</v>
      </c>
      <c r="B2" s="336">
        <f>Info!D2</f>
        <v>45747</v>
      </c>
    </row>
    <row r="4" spans="1:19" ht="39" thickBot="1">
      <c r="A4" s="37" t="s">
        <v>259</v>
      </c>
      <c r="B4" s="198" t="s">
        <v>294</v>
      </c>
    </row>
    <row r="5" spans="1:19">
      <c r="A5" s="84"/>
      <c r="B5" s="86"/>
      <c r="C5" s="78" t="s">
        <v>0</v>
      </c>
      <c r="D5" s="78" t="s">
        <v>1</v>
      </c>
      <c r="E5" s="78" t="s">
        <v>2</v>
      </c>
      <c r="F5" s="78" t="s">
        <v>3</v>
      </c>
      <c r="G5" s="78" t="s">
        <v>4</v>
      </c>
      <c r="H5" s="78" t="s">
        <v>5</v>
      </c>
      <c r="I5" s="78" t="s">
        <v>145</v>
      </c>
      <c r="J5" s="78" t="s">
        <v>146</v>
      </c>
      <c r="K5" s="78" t="s">
        <v>147</v>
      </c>
      <c r="L5" s="78" t="s">
        <v>148</v>
      </c>
      <c r="M5" s="78" t="s">
        <v>149</v>
      </c>
      <c r="N5" s="78" t="s">
        <v>150</v>
      </c>
      <c r="O5" s="78" t="s">
        <v>281</v>
      </c>
      <c r="P5" s="78" t="s">
        <v>282</v>
      </c>
      <c r="Q5" s="78" t="s">
        <v>283</v>
      </c>
      <c r="R5" s="193" t="s">
        <v>284</v>
      </c>
      <c r="S5" s="79" t="s">
        <v>285</v>
      </c>
    </row>
    <row r="6" spans="1:19" ht="46.5" customHeight="1">
      <c r="A6" s="102"/>
      <c r="B6" s="841" t="s">
        <v>286</v>
      </c>
      <c r="C6" s="839">
        <v>0</v>
      </c>
      <c r="D6" s="840"/>
      <c r="E6" s="839">
        <v>0.2</v>
      </c>
      <c r="F6" s="840"/>
      <c r="G6" s="839">
        <v>0.35</v>
      </c>
      <c r="H6" s="840"/>
      <c r="I6" s="839">
        <v>0.5</v>
      </c>
      <c r="J6" s="840"/>
      <c r="K6" s="839">
        <v>0.75</v>
      </c>
      <c r="L6" s="840"/>
      <c r="M6" s="839">
        <v>1</v>
      </c>
      <c r="N6" s="840"/>
      <c r="O6" s="839">
        <v>1.5</v>
      </c>
      <c r="P6" s="840"/>
      <c r="Q6" s="839">
        <v>2.5</v>
      </c>
      <c r="R6" s="840"/>
      <c r="S6" s="837" t="s">
        <v>156</v>
      </c>
    </row>
    <row r="7" spans="1:19">
      <c r="A7" s="102"/>
      <c r="B7" s="842"/>
      <c r="C7" s="197" t="s">
        <v>279</v>
      </c>
      <c r="D7" s="197" t="s">
        <v>280</v>
      </c>
      <c r="E7" s="197" t="s">
        <v>279</v>
      </c>
      <c r="F7" s="197" t="s">
        <v>280</v>
      </c>
      <c r="G7" s="197" t="s">
        <v>279</v>
      </c>
      <c r="H7" s="197" t="s">
        <v>280</v>
      </c>
      <c r="I7" s="197" t="s">
        <v>279</v>
      </c>
      <c r="J7" s="197" t="s">
        <v>280</v>
      </c>
      <c r="K7" s="197" t="s">
        <v>279</v>
      </c>
      <c r="L7" s="197" t="s">
        <v>280</v>
      </c>
      <c r="M7" s="197" t="s">
        <v>279</v>
      </c>
      <c r="N7" s="197" t="s">
        <v>280</v>
      </c>
      <c r="O7" s="197" t="s">
        <v>279</v>
      </c>
      <c r="P7" s="197" t="s">
        <v>280</v>
      </c>
      <c r="Q7" s="197" t="s">
        <v>279</v>
      </c>
      <c r="R7" s="197" t="s">
        <v>280</v>
      </c>
      <c r="S7" s="838"/>
    </row>
    <row r="8" spans="1:19" s="105" customFormat="1">
      <c r="A8" s="82">
        <v>1</v>
      </c>
      <c r="B8" s="123" t="s">
        <v>134</v>
      </c>
      <c r="C8" s="705">
        <v>351</v>
      </c>
      <c r="D8" s="705"/>
      <c r="E8" s="705">
        <v>0</v>
      </c>
      <c r="F8" s="706"/>
      <c r="G8" s="705">
        <v>0</v>
      </c>
      <c r="H8" s="705"/>
      <c r="I8" s="705">
        <v>0</v>
      </c>
      <c r="J8" s="705"/>
      <c r="K8" s="705">
        <v>0</v>
      </c>
      <c r="L8" s="705"/>
      <c r="M8" s="705">
        <v>0</v>
      </c>
      <c r="N8" s="705"/>
      <c r="O8" s="705">
        <v>0</v>
      </c>
      <c r="P8" s="705"/>
      <c r="Q8" s="705">
        <v>0</v>
      </c>
      <c r="R8" s="706"/>
      <c r="S8" s="634">
        <f>$C$6*SUM(C8:D8)+$E$6*SUM(E8:F8)+$G$6*SUM(G8:H8)+$I$6*SUM(I8:J8)+$K$6*SUM(K8:L8)+$M$6*SUM(M8:N8)+$O$6*SUM(O8:P8)+$Q$6*SUM(Q8:R8)</f>
        <v>0</v>
      </c>
    </row>
    <row r="9" spans="1:19" s="105" customFormat="1">
      <c r="A9" s="82">
        <v>2</v>
      </c>
      <c r="B9" s="123" t="s">
        <v>135</v>
      </c>
      <c r="C9" s="705">
        <v>0</v>
      </c>
      <c r="D9" s="705"/>
      <c r="E9" s="705">
        <v>0</v>
      </c>
      <c r="F9" s="705"/>
      <c r="G9" s="705">
        <v>0</v>
      </c>
      <c r="H9" s="705"/>
      <c r="I9" s="705">
        <v>0</v>
      </c>
      <c r="J9" s="705"/>
      <c r="K9" s="705">
        <v>0</v>
      </c>
      <c r="L9" s="705"/>
      <c r="M9" s="705">
        <v>0</v>
      </c>
      <c r="N9" s="705"/>
      <c r="O9" s="705">
        <v>0</v>
      </c>
      <c r="P9" s="705"/>
      <c r="Q9" s="705">
        <v>0</v>
      </c>
      <c r="R9" s="706"/>
      <c r="S9" s="634">
        <f t="shared" ref="S9:S21" si="0">$C$6*SUM(C9:D9)+$E$6*SUM(E9:F9)+$G$6*SUM(G9:H9)+$I$6*SUM(I9:J9)+$K$6*SUM(K9:L9)+$M$6*SUM(M9:N9)+$O$6*SUM(O9:P9)+$Q$6*SUM(Q9:R9)</f>
        <v>0</v>
      </c>
    </row>
    <row r="10" spans="1:19" s="105" customFormat="1">
      <c r="A10" s="82">
        <v>3</v>
      </c>
      <c r="B10" s="123" t="s">
        <v>136</v>
      </c>
      <c r="C10" s="705">
        <v>0</v>
      </c>
      <c r="D10" s="705"/>
      <c r="E10" s="705">
        <v>0</v>
      </c>
      <c r="F10" s="705"/>
      <c r="G10" s="705">
        <v>0</v>
      </c>
      <c r="H10" s="705"/>
      <c r="I10" s="705">
        <v>0</v>
      </c>
      <c r="J10" s="705"/>
      <c r="K10" s="705">
        <v>0</v>
      </c>
      <c r="L10" s="705"/>
      <c r="M10" s="705">
        <v>0</v>
      </c>
      <c r="N10" s="705"/>
      <c r="O10" s="705">
        <v>0</v>
      </c>
      <c r="P10" s="705"/>
      <c r="Q10" s="705">
        <v>0</v>
      </c>
      <c r="R10" s="706"/>
      <c r="S10" s="634">
        <f t="shared" si="0"/>
        <v>0</v>
      </c>
    </row>
    <row r="11" spans="1:19" s="105" customFormat="1">
      <c r="A11" s="82">
        <v>4</v>
      </c>
      <c r="B11" s="123" t="s">
        <v>137</v>
      </c>
      <c r="C11" s="705">
        <v>0</v>
      </c>
      <c r="D11" s="705"/>
      <c r="E11" s="705">
        <v>0</v>
      </c>
      <c r="F11" s="705"/>
      <c r="G11" s="705">
        <v>0</v>
      </c>
      <c r="H11" s="705"/>
      <c r="I11" s="705">
        <v>0</v>
      </c>
      <c r="J11" s="705"/>
      <c r="K11" s="705">
        <v>0</v>
      </c>
      <c r="L11" s="705"/>
      <c r="M11" s="705">
        <v>0</v>
      </c>
      <c r="N11" s="705"/>
      <c r="O11" s="705">
        <v>0</v>
      </c>
      <c r="P11" s="705"/>
      <c r="Q11" s="705">
        <v>0</v>
      </c>
      <c r="R11" s="706"/>
      <c r="S11" s="634">
        <f t="shared" si="0"/>
        <v>0</v>
      </c>
    </row>
    <row r="12" spans="1:19" s="105" customFormat="1">
      <c r="A12" s="82">
        <v>5</v>
      </c>
      <c r="B12" s="123" t="s">
        <v>948</v>
      </c>
      <c r="C12" s="705">
        <v>0</v>
      </c>
      <c r="D12" s="705"/>
      <c r="E12" s="705">
        <v>0</v>
      </c>
      <c r="F12" s="705"/>
      <c r="G12" s="705">
        <v>0</v>
      </c>
      <c r="H12" s="705"/>
      <c r="I12" s="705">
        <v>0</v>
      </c>
      <c r="J12" s="705"/>
      <c r="K12" s="705">
        <v>0</v>
      </c>
      <c r="L12" s="705"/>
      <c r="M12" s="705">
        <v>0</v>
      </c>
      <c r="N12" s="705"/>
      <c r="O12" s="705">
        <v>0</v>
      </c>
      <c r="P12" s="705"/>
      <c r="Q12" s="705">
        <v>0</v>
      </c>
      <c r="R12" s="706"/>
      <c r="S12" s="634">
        <f t="shared" si="0"/>
        <v>0</v>
      </c>
    </row>
    <row r="13" spans="1:19" s="105" customFormat="1">
      <c r="A13" s="82">
        <v>6</v>
      </c>
      <c r="B13" s="123" t="s">
        <v>138</v>
      </c>
      <c r="C13" s="705">
        <v>0</v>
      </c>
      <c r="D13" s="705"/>
      <c r="E13" s="705">
        <v>5460204.2932000002</v>
      </c>
      <c r="F13" s="705"/>
      <c r="G13" s="705">
        <v>0</v>
      </c>
      <c r="H13" s="705"/>
      <c r="I13" s="705">
        <v>0.54209999972954392</v>
      </c>
      <c r="J13" s="705"/>
      <c r="K13" s="705">
        <v>0</v>
      </c>
      <c r="L13" s="705"/>
      <c r="M13" s="705">
        <v>1438633</v>
      </c>
      <c r="N13" s="705">
        <v>0</v>
      </c>
      <c r="O13" s="705">
        <v>0</v>
      </c>
      <c r="P13" s="705"/>
      <c r="Q13" s="705">
        <v>0</v>
      </c>
      <c r="R13" s="706"/>
      <c r="S13" s="634">
        <f t="shared" si="0"/>
        <v>2530674.1296899999</v>
      </c>
    </row>
    <row r="14" spans="1:19" s="105" customFormat="1">
      <c r="A14" s="82">
        <v>7</v>
      </c>
      <c r="B14" s="123" t="s">
        <v>71</v>
      </c>
      <c r="C14" s="705">
        <v>0</v>
      </c>
      <c r="D14" s="705">
        <v>0</v>
      </c>
      <c r="E14" s="705">
        <v>0</v>
      </c>
      <c r="F14" s="705">
        <v>0</v>
      </c>
      <c r="G14" s="705">
        <v>0</v>
      </c>
      <c r="H14" s="705"/>
      <c r="I14" s="705">
        <v>0</v>
      </c>
      <c r="J14" s="705">
        <v>0</v>
      </c>
      <c r="K14" s="705">
        <v>0</v>
      </c>
      <c r="L14" s="705"/>
      <c r="M14" s="705">
        <v>99530110.867577776</v>
      </c>
      <c r="N14" s="705">
        <v>113826</v>
      </c>
      <c r="O14" s="705">
        <v>0</v>
      </c>
      <c r="P14" s="705">
        <v>0</v>
      </c>
      <c r="Q14" s="705">
        <v>0</v>
      </c>
      <c r="R14" s="706">
        <v>0</v>
      </c>
      <c r="S14" s="634">
        <f t="shared" si="0"/>
        <v>99643936.867577776</v>
      </c>
    </row>
    <row r="15" spans="1:19" s="105" customFormat="1">
      <c r="A15" s="82">
        <v>8</v>
      </c>
      <c r="B15" s="123" t="s">
        <v>72</v>
      </c>
      <c r="C15" s="705">
        <v>0</v>
      </c>
      <c r="D15" s="705"/>
      <c r="E15" s="705">
        <v>0</v>
      </c>
      <c r="F15" s="705"/>
      <c r="G15" s="705">
        <v>0</v>
      </c>
      <c r="H15" s="705"/>
      <c r="I15" s="705">
        <v>0</v>
      </c>
      <c r="J15" s="705"/>
      <c r="K15" s="705">
        <v>0</v>
      </c>
      <c r="L15" s="705">
        <v>0</v>
      </c>
      <c r="M15" s="705">
        <v>0</v>
      </c>
      <c r="N15" s="705">
        <v>0</v>
      </c>
      <c r="O15" s="705">
        <v>0</v>
      </c>
      <c r="P15" s="705">
        <v>0</v>
      </c>
      <c r="Q15" s="705">
        <v>0</v>
      </c>
      <c r="R15" s="706"/>
      <c r="S15" s="634">
        <f t="shared" si="0"/>
        <v>0</v>
      </c>
    </row>
    <row r="16" spans="1:19" s="105" customFormat="1">
      <c r="A16" s="82">
        <v>9</v>
      </c>
      <c r="B16" s="123" t="s">
        <v>949</v>
      </c>
      <c r="C16" s="705">
        <v>2308.4076694337018</v>
      </c>
      <c r="D16" s="705"/>
      <c r="E16" s="705">
        <v>0</v>
      </c>
      <c r="F16" s="705"/>
      <c r="G16" s="705">
        <v>6322880.8637088602</v>
      </c>
      <c r="H16" s="705">
        <v>0</v>
      </c>
      <c r="I16" s="705">
        <v>0</v>
      </c>
      <c r="J16" s="705"/>
      <c r="K16" s="705">
        <v>0</v>
      </c>
      <c r="L16" s="705"/>
      <c r="M16" s="705">
        <v>0</v>
      </c>
      <c r="N16" s="705"/>
      <c r="O16" s="705">
        <v>0</v>
      </c>
      <c r="P16" s="705"/>
      <c r="Q16" s="705">
        <v>0</v>
      </c>
      <c r="R16" s="706"/>
      <c r="S16" s="634">
        <f t="shared" si="0"/>
        <v>2213008.3022981011</v>
      </c>
    </row>
    <row r="17" spans="1:19" s="105" customFormat="1">
      <c r="A17" s="82">
        <v>10</v>
      </c>
      <c r="B17" s="123" t="s">
        <v>67</v>
      </c>
      <c r="C17" s="705">
        <v>8874.2247895286964</v>
      </c>
      <c r="D17" s="705"/>
      <c r="E17" s="705">
        <v>0</v>
      </c>
      <c r="F17" s="705"/>
      <c r="G17" s="705">
        <v>0</v>
      </c>
      <c r="H17" s="705"/>
      <c r="I17" s="705">
        <v>2955344.5351356673</v>
      </c>
      <c r="J17" s="705"/>
      <c r="K17" s="705">
        <v>0</v>
      </c>
      <c r="L17" s="705"/>
      <c r="M17" s="705">
        <v>19329104.157506172</v>
      </c>
      <c r="N17" s="705"/>
      <c r="O17" s="705">
        <v>35773100.99745629</v>
      </c>
      <c r="P17" s="705"/>
      <c r="Q17" s="705">
        <v>0</v>
      </c>
      <c r="R17" s="706"/>
      <c r="S17" s="634">
        <f t="shared" si="0"/>
        <v>74466427.92125845</v>
      </c>
    </row>
    <row r="18" spans="1:19" s="105" customFormat="1">
      <c r="A18" s="82">
        <v>11</v>
      </c>
      <c r="B18" s="123" t="s">
        <v>68</v>
      </c>
      <c r="C18" s="705">
        <v>0</v>
      </c>
      <c r="D18" s="705"/>
      <c r="E18" s="705">
        <v>0</v>
      </c>
      <c r="F18" s="705"/>
      <c r="G18" s="705">
        <v>0</v>
      </c>
      <c r="H18" s="705"/>
      <c r="I18" s="705">
        <v>0</v>
      </c>
      <c r="J18" s="705"/>
      <c r="K18" s="705">
        <v>0</v>
      </c>
      <c r="L18" s="705"/>
      <c r="M18" s="705">
        <v>0</v>
      </c>
      <c r="N18" s="705"/>
      <c r="O18" s="705">
        <v>0</v>
      </c>
      <c r="P18" s="705"/>
      <c r="Q18" s="705">
        <v>0</v>
      </c>
      <c r="R18" s="706"/>
      <c r="S18" s="634">
        <f t="shared" si="0"/>
        <v>0</v>
      </c>
    </row>
    <row r="19" spans="1:19" s="105" customFormat="1">
      <c r="A19" s="82">
        <v>12</v>
      </c>
      <c r="B19" s="123" t="s">
        <v>69</v>
      </c>
      <c r="C19" s="705">
        <v>0</v>
      </c>
      <c r="D19" s="705"/>
      <c r="E19" s="705">
        <v>0</v>
      </c>
      <c r="F19" s="705"/>
      <c r="G19" s="705">
        <v>0</v>
      </c>
      <c r="H19" s="705"/>
      <c r="I19" s="705">
        <v>0</v>
      </c>
      <c r="J19" s="705"/>
      <c r="K19" s="705">
        <v>0</v>
      </c>
      <c r="L19" s="705"/>
      <c r="M19" s="705">
        <v>0</v>
      </c>
      <c r="N19" s="705"/>
      <c r="O19" s="705">
        <v>0</v>
      </c>
      <c r="P19" s="705"/>
      <c r="Q19" s="705">
        <v>0</v>
      </c>
      <c r="R19" s="706"/>
      <c r="S19" s="634">
        <f t="shared" si="0"/>
        <v>0</v>
      </c>
    </row>
    <row r="20" spans="1:19" s="105" customFormat="1">
      <c r="A20" s="82">
        <v>13</v>
      </c>
      <c r="B20" s="123" t="s">
        <v>70</v>
      </c>
      <c r="C20" s="705">
        <v>0</v>
      </c>
      <c r="D20" s="705"/>
      <c r="E20" s="705">
        <v>0</v>
      </c>
      <c r="F20" s="705"/>
      <c r="G20" s="705">
        <v>0</v>
      </c>
      <c r="H20" s="705"/>
      <c r="I20" s="705">
        <v>0</v>
      </c>
      <c r="J20" s="705"/>
      <c r="K20" s="705">
        <v>0</v>
      </c>
      <c r="L20" s="705"/>
      <c r="M20" s="705">
        <v>0</v>
      </c>
      <c r="N20" s="705"/>
      <c r="O20" s="705">
        <v>0</v>
      </c>
      <c r="P20" s="705"/>
      <c r="Q20" s="705">
        <v>0</v>
      </c>
      <c r="R20" s="706"/>
      <c r="S20" s="634">
        <f t="shared" si="0"/>
        <v>0</v>
      </c>
    </row>
    <row r="21" spans="1:19" s="105" customFormat="1">
      <c r="A21" s="82">
        <v>14</v>
      </c>
      <c r="B21" s="123" t="s">
        <v>154</v>
      </c>
      <c r="C21" s="705">
        <v>175788349.9339</v>
      </c>
      <c r="D21" s="705"/>
      <c r="E21" s="705">
        <v>0</v>
      </c>
      <c r="F21" s="705"/>
      <c r="G21" s="705">
        <v>0</v>
      </c>
      <c r="H21" s="705"/>
      <c r="I21" s="705">
        <v>0</v>
      </c>
      <c r="J21" s="705"/>
      <c r="K21" s="705">
        <v>0</v>
      </c>
      <c r="L21" s="705"/>
      <c r="M21" s="705">
        <v>101337008.98</v>
      </c>
      <c r="N21" s="705"/>
      <c r="O21" s="705">
        <v>0</v>
      </c>
      <c r="P21" s="705"/>
      <c r="Q21" s="705">
        <v>283145</v>
      </c>
      <c r="R21" s="706"/>
      <c r="S21" s="634">
        <f t="shared" si="0"/>
        <v>102044871.48</v>
      </c>
    </row>
    <row r="22" spans="1:19" ht="13.5" thickBot="1">
      <c r="A22" s="64"/>
      <c r="B22" s="107" t="s">
        <v>66</v>
      </c>
      <c r="C22" s="633">
        <f>SUM(C8:C21)</f>
        <v>175799883.56635895</v>
      </c>
      <c r="D22" s="633">
        <f t="shared" ref="D22:S22" si="1">SUM(D8:D21)</f>
        <v>0</v>
      </c>
      <c r="E22" s="633">
        <f t="shared" si="1"/>
        <v>5460204.2932000002</v>
      </c>
      <c r="F22" s="633">
        <f t="shared" si="1"/>
        <v>0</v>
      </c>
      <c r="G22" s="633">
        <f t="shared" si="1"/>
        <v>6322880.8637088602</v>
      </c>
      <c r="H22" s="633">
        <f t="shared" si="1"/>
        <v>0</v>
      </c>
      <c r="I22" s="633">
        <f t="shared" si="1"/>
        <v>2955345.077235667</v>
      </c>
      <c r="J22" s="633">
        <f t="shared" si="1"/>
        <v>0</v>
      </c>
      <c r="K22" s="633">
        <f t="shared" si="1"/>
        <v>0</v>
      </c>
      <c r="L22" s="633">
        <f t="shared" si="1"/>
        <v>0</v>
      </c>
      <c r="M22" s="633">
        <f t="shared" si="1"/>
        <v>221634857.00508395</v>
      </c>
      <c r="N22" s="633">
        <f t="shared" si="1"/>
        <v>113826</v>
      </c>
      <c r="O22" s="633">
        <f t="shared" si="1"/>
        <v>35773100.99745629</v>
      </c>
      <c r="P22" s="633">
        <f t="shared" si="1"/>
        <v>0</v>
      </c>
      <c r="Q22" s="633">
        <f t="shared" si="1"/>
        <v>283145</v>
      </c>
      <c r="R22" s="633">
        <f t="shared" si="1"/>
        <v>0</v>
      </c>
      <c r="S22" s="632">
        <f t="shared" si="1"/>
        <v>280898918.70082432</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60" zoomScaleNormal="60" workbookViewId="0">
      <pane xSplit="2" ySplit="6" topLeftCell="C7" activePane="bottomRight" state="frozen"/>
      <selection activeCell="B2" sqref="B2"/>
      <selection pane="topRight" activeCell="B2" sqref="B2"/>
      <selection pane="bottomLeft" activeCell="B2" sqref="B2"/>
      <selection pane="bottomRight" activeCell="C7" sqref="C7:U20"/>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108</v>
      </c>
      <c r="B1" s="226" t="str">
        <f>Info!C2</f>
        <v>JSC "VTB Bank (Georgia)"</v>
      </c>
    </row>
    <row r="2" spans="1:22">
      <c r="A2" s="2" t="s">
        <v>109</v>
      </c>
      <c r="B2" s="336">
        <f>Info!D2</f>
        <v>45747</v>
      </c>
    </row>
    <row r="4" spans="1:22" ht="27.75" thickBot="1">
      <c r="A4" s="2" t="s">
        <v>260</v>
      </c>
      <c r="B4" s="199" t="s">
        <v>295</v>
      </c>
      <c r="V4" s="149" t="s">
        <v>87</v>
      </c>
    </row>
    <row r="5" spans="1:22">
      <c r="A5" s="62"/>
      <c r="B5" s="63"/>
      <c r="C5" s="843" t="s">
        <v>116</v>
      </c>
      <c r="D5" s="844"/>
      <c r="E5" s="844"/>
      <c r="F5" s="844"/>
      <c r="G5" s="844"/>
      <c r="H5" s="844"/>
      <c r="I5" s="844"/>
      <c r="J5" s="844"/>
      <c r="K5" s="844"/>
      <c r="L5" s="845"/>
      <c r="M5" s="843" t="s">
        <v>117</v>
      </c>
      <c r="N5" s="844"/>
      <c r="O5" s="844"/>
      <c r="P5" s="844"/>
      <c r="Q5" s="844"/>
      <c r="R5" s="844"/>
      <c r="S5" s="845"/>
      <c r="T5" s="848" t="s">
        <v>293</v>
      </c>
      <c r="U5" s="848" t="s">
        <v>292</v>
      </c>
      <c r="V5" s="846" t="s">
        <v>118</v>
      </c>
    </row>
    <row r="6" spans="1:22" s="37" customFormat="1" ht="140.25">
      <c r="A6" s="80"/>
      <c r="B6" s="125"/>
      <c r="C6" s="60" t="s">
        <v>119</v>
      </c>
      <c r="D6" s="59" t="s">
        <v>120</v>
      </c>
      <c r="E6" s="56" t="s">
        <v>121</v>
      </c>
      <c r="F6" s="200" t="s">
        <v>287</v>
      </c>
      <c r="G6" s="59" t="s">
        <v>122</v>
      </c>
      <c r="H6" s="59" t="s">
        <v>123</v>
      </c>
      <c r="I6" s="59" t="s">
        <v>124</v>
      </c>
      <c r="J6" s="59" t="s">
        <v>153</v>
      </c>
      <c r="K6" s="59" t="s">
        <v>125</v>
      </c>
      <c r="L6" s="61" t="s">
        <v>126</v>
      </c>
      <c r="M6" s="60" t="s">
        <v>127</v>
      </c>
      <c r="N6" s="59" t="s">
        <v>128</v>
      </c>
      <c r="O6" s="59" t="s">
        <v>129</v>
      </c>
      <c r="P6" s="59" t="s">
        <v>130</v>
      </c>
      <c r="Q6" s="59" t="s">
        <v>131</v>
      </c>
      <c r="R6" s="59" t="s">
        <v>132</v>
      </c>
      <c r="S6" s="61" t="s">
        <v>133</v>
      </c>
      <c r="T6" s="849"/>
      <c r="U6" s="849"/>
      <c r="V6" s="847"/>
    </row>
    <row r="7" spans="1:22" s="105" customFormat="1">
      <c r="A7" s="106">
        <v>1</v>
      </c>
      <c r="B7" s="123" t="s">
        <v>134</v>
      </c>
      <c r="C7" s="707"/>
      <c r="D7" s="707">
        <v>0</v>
      </c>
      <c r="E7" s="707"/>
      <c r="F7" s="707"/>
      <c r="G7" s="707"/>
      <c r="H7" s="707"/>
      <c r="I7" s="707"/>
      <c r="J7" s="707">
        <v>0</v>
      </c>
      <c r="K7" s="707"/>
      <c r="L7" s="708"/>
      <c r="M7" s="709"/>
      <c r="N7" s="707"/>
      <c r="O7" s="707"/>
      <c r="P7" s="707"/>
      <c r="Q7" s="707"/>
      <c r="R7" s="707"/>
      <c r="S7" s="708"/>
      <c r="T7" s="710">
        <v>0</v>
      </c>
      <c r="U7" s="711"/>
      <c r="V7" s="181">
        <f>SUM(C7:S7)</f>
        <v>0</v>
      </c>
    </row>
    <row r="8" spans="1:22" s="105" customFormat="1">
      <c r="A8" s="106">
        <v>2</v>
      </c>
      <c r="B8" s="123" t="s">
        <v>135</v>
      </c>
      <c r="C8" s="707"/>
      <c r="D8" s="707">
        <v>0</v>
      </c>
      <c r="E8" s="707"/>
      <c r="F8" s="707"/>
      <c r="G8" s="707"/>
      <c r="H8" s="707"/>
      <c r="I8" s="707"/>
      <c r="J8" s="707">
        <v>0</v>
      </c>
      <c r="K8" s="707"/>
      <c r="L8" s="708"/>
      <c r="M8" s="709"/>
      <c r="N8" s="707"/>
      <c r="O8" s="707"/>
      <c r="P8" s="707"/>
      <c r="Q8" s="707"/>
      <c r="R8" s="707"/>
      <c r="S8" s="708"/>
      <c r="T8" s="711">
        <v>0</v>
      </c>
      <c r="U8" s="711"/>
      <c r="V8" s="181">
        <f t="shared" ref="V8:V20" si="0">SUM(C8:S8)</f>
        <v>0</v>
      </c>
    </row>
    <row r="9" spans="1:22" s="105" customFormat="1">
      <c r="A9" s="106">
        <v>3</v>
      </c>
      <c r="B9" s="123" t="s">
        <v>136</v>
      </c>
      <c r="C9" s="707"/>
      <c r="D9" s="707">
        <v>0</v>
      </c>
      <c r="E9" s="707"/>
      <c r="F9" s="707"/>
      <c r="G9" s="707"/>
      <c r="H9" s="707"/>
      <c r="I9" s="707"/>
      <c r="J9" s="707">
        <v>0</v>
      </c>
      <c r="K9" s="707"/>
      <c r="L9" s="708"/>
      <c r="M9" s="709"/>
      <c r="N9" s="707"/>
      <c r="O9" s="707"/>
      <c r="P9" s="707"/>
      <c r="Q9" s="707"/>
      <c r="R9" s="707"/>
      <c r="S9" s="708"/>
      <c r="T9" s="711">
        <v>0</v>
      </c>
      <c r="U9" s="711"/>
      <c r="V9" s="181">
        <f>SUM(C9:S9)</f>
        <v>0</v>
      </c>
    </row>
    <row r="10" spans="1:22" s="105" customFormat="1">
      <c r="A10" s="106">
        <v>4</v>
      </c>
      <c r="B10" s="123" t="s">
        <v>137</v>
      </c>
      <c r="C10" s="707"/>
      <c r="D10" s="707">
        <v>0</v>
      </c>
      <c r="E10" s="707"/>
      <c r="F10" s="707"/>
      <c r="G10" s="707"/>
      <c r="H10" s="707"/>
      <c r="I10" s="707"/>
      <c r="J10" s="707">
        <v>0</v>
      </c>
      <c r="K10" s="707"/>
      <c r="L10" s="708"/>
      <c r="M10" s="709"/>
      <c r="N10" s="707"/>
      <c r="O10" s="707"/>
      <c r="P10" s="707"/>
      <c r="Q10" s="707"/>
      <c r="R10" s="707"/>
      <c r="S10" s="708"/>
      <c r="T10" s="711">
        <v>0</v>
      </c>
      <c r="U10" s="711"/>
      <c r="V10" s="181">
        <f t="shared" si="0"/>
        <v>0</v>
      </c>
    </row>
    <row r="11" spans="1:22" s="105" customFormat="1">
      <c r="A11" s="106">
        <v>5</v>
      </c>
      <c r="B11" s="123" t="s">
        <v>948</v>
      </c>
      <c r="C11" s="707"/>
      <c r="D11" s="707">
        <v>0</v>
      </c>
      <c r="E11" s="707"/>
      <c r="F11" s="707"/>
      <c r="G11" s="707"/>
      <c r="H11" s="707"/>
      <c r="I11" s="707"/>
      <c r="J11" s="707">
        <v>0</v>
      </c>
      <c r="K11" s="707"/>
      <c r="L11" s="708"/>
      <c r="M11" s="709"/>
      <c r="N11" s="707"/>
      <c r="O11" s="707"/>
      <c r="P11" s="707"/>
      <c r="Q11" s="707"/>
      <c r="R11" s="707"/>
      <c r="S11" s="708"/>
      <c r="T11" s="711">
        <v>0</v>
      </c>
      <c r="U11" s="711"/>
      <c r="V11" s="181">
        <f t="shared" si="0"/>
        <v>0</v>
      </c>
    </row>
    <row r="12" spans="1:22" s="105" customFormat="1">
      <c r="A12" s="106">
        <v>6</v>
      </c>
      <c r="B12" s="123" t="s">
        <v>138</v>
      </c>
      <c r="C12" s="707"/>
      <c r="D12" s="707">
        <v>0</v>
      </c>
      <c r="E12" s="707"/>
      <c r="F12" s="707"/>
      <c r="G12" s="707"/>
      <c r="H12" s="707"/>
      <c r="I12" s="707"/>
      <c r="J12" s="707">
        <v>0</v>
      </c>
      <c r="K12" s="707"/>
      <c r="L12" s="708"/>
      <c r="M12" s="709"/>
      <c r="N12" s="707"/>
      <c r="O12" s="707"/>
      <c r="P12" s="707"/>
      <c r="Q12" s="707"/>
      <c r="R12" s="707"/>
      <c r="S12" s="708"/>
      <c r="T12" s="711">
        <v>0</v>
      </c>
      <c r="U12" s="711"/>
      <c r="V12" s="181">
        <f t="shared" si="0"/>
        <v>0</v>
      </c>
    </row>
    <row r="13" spans="1:22" s="105" customFormat="1">
      <c r="A13" s="106">
        <v>7</v>
      </c>
      <c r="B13" s="123" t="s">
        <v>71</v>
      </c>
      <c r="C13" s="707"/>
      <c r="D13" s="707">
        <v>21235</v>
      </c>
      <c r="E13" s="707"/>
      <c r="F13" s="707"/>
      <c r="G13" s="707"/>
      <c r="H13" s="707"/>
      <c r="I13" s="707"/>
      <c r="J13" s="707">
        <v>0</v>
      </c>
      <c r="K13" s="707"/>
      <c r="L13" s="708"/>
      <c r="M13" s="709"/>
      <c r="N13" s="707"/>
      <c r="O13" s="707"/>
      <c r="P13" s="707"/>
      <c r="Q13" s="707"/>
      <c r="R13" s="707"/>
      <c r="S13" s="708"/>
      <c r="T13" s="711">
        <v>0</v>
      </c>
      <c r="U13" s="711">
        <v>21235</v>
      </c>
      <c r="V13" s="181">
        <f t="shared" si="0"/>
        <v>21235</v>
      </c>
    </row>
    <row r="14" spans="1:22" s="105" customFormat="1">
      <c r="A14" s="106">
        <v>8</v>
      </c>
      <c r="B14" s="123" t="s">
        <v>72</v>
      </c>
      <c r="C14" s="707"/>
      <c r="D14" s="707">
        <v>0</v>
      </c>
      <c r="E14" s="707"/>
      <c r="F14" s="707"/>
      <c r="G14" s="707"/>
      <c r="H14" s="707"/>
      <c r="I14" s="707"/>
      <c r="J14" s="707">
        <v>0</v>
      </c>
      <c r="K14" s="707"/>
      <c r="L14" s="708"/>
      <c r="M14" s="709"/>
      <c r="N14" s="707"/>
      <c r="O14" s="707"/>
      <c r="P14" s="707"/>
      <c r="Q14" s="707"/>
      <c r="R14" s="707"/>
      <c r="S14" s="708"/>
      <c r="T14" s="711">
        <v>0</v>
      </c>
      <c r="U14" s="711">
        <v>0</v>
      </c>
      <c r="V14" s="181">
        <f t="shared" si="0"/>
        <v>0</v>
      </c>
    </row>
    <row r="15" spans="1:22" s="105" customFormat="1">
      <c r="A15" s="106">
        <v>9</v>
      </c>
      <c r="B15" s="123" t="s">
        <v>949</v>
      </c>
      <c r="C15" s="707"/>
      <c r="D15" s="707">
        <v>0</v>
      </c>
      <c r="E15" s="707"/>
      <c r="F15" s="707"/>
      <c r="G15" s="707"/>
      <c r="H15" s="707"/>
      <c r="I15" s="707"/>
      <c r="J15" s="707">
        <v>0</v>
      </c>
      <c r="K15" s="707"/>
      <c r="L15" s="708"/>
      <c r="M15" s="709"/>
      <c r="N15" s="707"/>
      <c r="O15" s="707"/>
      <c r="P15" s="707"/>
      <c r="Q15" s="707"/>
      <c r="R15" s="707"/>
      <c r="S15" s="708"/>
      <c r="T15" s="711">
        <v>0</v>
      </c>
      <c r="U15" s="711"/>
      <c r="V15" s="181">
        <f t="shared" si="0"/>
        <v>0</v>
      </c>
    </row>
    <row r="16" spans="1:22" s="105" customFormat="1">
      <c r="A16" s="106">
        <v>10</v>
      </c>
      <c r="B16" s="123" t="s">
        <v>67</v>
      </c>
      <c r="C16" s="707"/>
      <c r="D16" s="707">
        <v>200000</v>
      </c>
      <c r="E16" s="707"/>
      <c r="F16" s="707"/>
      <c r="G16" s="707"/>
      <c r="H16" s="707"/>
      <c r="I16" s="707"/>
      <c r="J16" s="707">
        <v>0</v>
      </c>
      <c r="K16" s="707"/>
      <c r="L16" s="708"/>
      <c r="M16" s="709"/>
      <c r="N16" s="707"/>
      <c r="O16" s="707"/>
      <c r="P16" s="707"/>
      <c r="Q16" s="707"/>
      <c r="R16" s="707"/>
      <c r="S16" s="708"/>
      <c r="T16" s="711">
        <v>200000</v>
      </c>
      <c r="U16" s="711"/>
      <c r="V16" s="181">
        <f t="shared" si="0"/>
        <v>200000</v>
      </c>
    </row>
    <row r="17" spans="1:22" s="105" customFormat="1">
      <c r="A17" s="106">
        <v>11</v>
      </c>
      <c r="B17" s="123" t="s">
        <v>68</v>
      </c>
      <c r="C17" s="707"/>
      <c r="D17" s="707">
        <v>0</v>
      </c>
      <c r="E17" s="707"/>
      <c r="F17" s="707"/>
      <c r="G17" s="707"/>
      <c r="H17" s="707"/>
      <c r="I17" s="707"/>
      <c r="J17" s="707">
        <v>0</v>
      </c>
      <c r="K17" s="707"/>
      <c r="L17" s="708"/>
      <c r="M17" s="709"/>
      <c r="N17" s="707"/>
      <c r="O17" s="707"/>
      <c r="P17" s="707"/>
      <c r="Q17" s="707"/>
      <c r="R17" s="707"/>
      <c r="S17" s="708"/>
      <c r="T17" s="711">
        <v>0</v>
      </c>
      <c r="U17" s="711"/>
      <c r="V17" s="181">
        <f t="shared" si="0"/>
        <v>0</v>
      </c>
    </row>
    <row r="18" spans="1:22" s="105" customFormat="1">
      <c r="A18" s="106">
        <v>12</v>
      </c>
      <c r="B18" s="123" t="s">
        <v>69</v>
      </c>
      <c r="C18" s="707"/>
      <c r="D18" s="707">
        <v>0</v>
      </c>
      <c r="E18" s="707"/>
      <c r="F18" s="707"/>
      <c r="G18" s="707"/>
      <c r="H18" s="707"/>
      <c r="I18" s="707"/>
      <c r="J18" s="707">
        <v>0</v>
      </c>
      <c r="K18" s="707"/>
      <c r="L18" s="708"/>
      <c r="M18" s="709"/>
      <c r="N18" s="707"/>
      <c r="O18" s="707"/>
      <c r="P18" s="707"/>
      <c r="Q18" s="707"/>
      <c r="R18" s="707"/>
      <c r="S18" s="708"/>
      <c r="T18" s="711">
        <v>0</v>
      </c>
      <c r="U18" s="711"/>
      <c r="V18" s="181">
        <f t="shared" si="0"/>
        <v>0</v>
      </c>
    </row>
    <row r="19" spans="1:22" s="105" customFormat="1">
      <c r="A19" s="106">
        <v>13</v>
      </c>
      <c r="B19" s="123" t="s">
        <v>70</v>
      </c>
      <c r="C19" s="707"/>
      <c r="D19" s="707">
        <v>0</v>
      </c>
      <c r="E19" s="707"/>
      <c r="F19" s="707"/>
      <c r="G19" s="707"/>
      <c r="H19" s="707"/>
      <c r="I19" s="707"/>
      <c r="J19" s="707">
        <v>0</v>
      </c>
      <c r="K19" s="707"/>
      <c r="L19" s="708"/>
      <c r="M19" s="709"/>
      <c r="N19" s="707"/>
      <c r="O19" s="707"/>
      <c r="P19" s="707"/>
      <c r="Q19" s="707"/>
      <c r="R19" s="707"/>
      <c r="S19" s="708"/>
      <c r="T19" s="711">
        <v>0</v>
      </c>
      <c r="U19" s="711"/>
      <c r="V19" s="181">
        <f t="shared" si="0"/>
        <v>0</v>
      </c>
    </row>
    <row r="20" spans="1:22" s="105" customFormat="1">
      <c r="A20" s="106">
        <v>14</v>
      </c>
      <c r="B20" s="123" t="s">
        <v>154</v>
      </c>
      <c r="C20" s="707"/>
      <c r="D20" s="707">
        <v>0</v>
      </c>
      <c r="E20" s="707"/>
      <c r="F20" s="707"/>
      <c r="G20" s="707"/>
      <c r="H20" s="707"/>
      <c r="I20" s="707"/>
      <c r="J20" s="707">
        <v>0</v>
      </c>
      <c r="K20" s="707"/>
      <c r="L20" s="708"/>
      <c r="M20" s="709"/>
      <c r="N20" s="707"/>
      <c r="O20" s="707"/>
      <c r="P20" s="707"/>
      <c r="Q20" s="707"/>
      <c r="R20" s="707"/>
      <c r="S20" s="708"/>
      <c r="T20" s="711">
        <v>0</v>
      </c>
      <c r="U20" s="711"/>
      <c r="V20" s="181">
        <f t="shared" si="0"/>
        <v>0</v>
      </c>
    </row>
    <row r="21" spans="1:22" ht="13.5" thickBot="1">
      <c r="A21" s="64"/>
      <c r="B21" s="65" t="s">
        <v>66</v>
      </c>
      <c r="C21" s="182">
        <f>SUM(C7:C20)</f>
        <v>0</v>
      </c>
      <c r="D21" s="180">
        <f t="shared" ref="D21:U21" si="1">SUM(D7:D20)</f>
        <v>221235</v>
      </c>
      <c r="E21" s="180">
        <f t="shared" si="1"/>
        <v>0</v>
      </c>
      <c r="F21" s="180">
        <f t="shared" si="1"/>
        <v>0</v>
      </c>
      <c r="G21" s="180">
        <f t="shared" si="1"/>
        <v>0</v>
      </c>
      <c r="H21" s="180">
        <f t="shared" si="1"/>
        <v>0</v>
      </c>
      <c r="I21" s="180">
        <f t="shared" si="1"/>
        <v>0</v>
      </c>
      <c r="J21" s="180">
        <f t="shared" si="1"/>
        <v>0</v>
      </c>
      <c r="K21" s="180">
        <f t="shared" si="1"/>
        <v>0</v>
      </c>
      <c r="L21" s="183">
        <f t="shared" si="1"/>
        <v>0</v>
      </c>
      <c r="M21" s="182">
        <f t="shared" si="1"/>
        <v>0</v>
      </c>
      <c r="N21" s="180">
        <f t="shared" si="1"/>
        <v>0</v>
      </c>
      <c r="O21" s="180">
        <f t="shared" si="1"/>
        <v>0</v>
      </c>
      <c r="P21" s="180">
        <f t="shared" si="1"/>
        <v>0</v>
      </c>
      <c r="Q21" s="180">
        <f t="shared" si="1"/>
        <v>0</v>
      </c>
      <c r="R21" s="180">
        <f t="shared" si="1"/>
        <v>0</v>
      </c>
      <c r="S21" s="183">
        <f t="shared" si="1"/>
        <v>0</v>
      </c>
      <c r="T21" s="183">
        <f>SUM(T7:T20)</f>
        <v>200000</v>
      </c>
      <c r="U21" s="183">
        <f t="shared" si="1"/>
        <v>21235</v>
      </c>
      <c r="V21" s="184">
        <f>SUM(V7:V20)</f>
        <v>221235</v>
      </c>
    </row>
    <row r="24" spans="1:22">
      <c r="A24" s="18"/>
      <c r="B24" s="18"/>
      <c r="C24" s="40"/>
      <c r="D24" s="40"/>
      <c r="E24" s="40"/>
    </row>
    <row r="25" spans="1:22">
      <c r="A25" s="57"/>
      <c r="B25" s="57"/>
      <c r="C25" s="18"/>
      <c r="D25" s="40"/>
      <c r="E25" s="40"/>
    </row>
    <row r="26" spans="1:22">
      <c r="A26" s="57"/>
      <c r="B26" s="58"/>
      <c r="C26" s="18"/>
      <c r="D26" s="40"/>
      <c r="E26" s="40"/>
    </row>
    <row r="27" spans="1:22">
      <c r="A27" s="57"/>
      <c r="B27" s="57"/>
      <c r="C27" s="18"/>
      <c r="D27" s="40"/>
      <c r="E27" s="40"/>
    </row>
    <row r="28" spans="1:22">
      <c r="A28" s="57"/>
      <c r="B28" s="58"/>
      <c r="C28" s="18"/>
      <c r="D28" s="40"/>
      <c r="E28" s="4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80" zoomScaleNormal="80" workbookViewId="0">
      <pane xSplit="1" ySplit="7" topLeftCell="B8" activePane="bottomRight" state="frozen"/>
      <selection activeCell="B2" sqref="B2"/>
      <selection pane="topRight" activeCell="B2" sqref="B2"/>
      <selection pane="bottomLeft" activeCell="B2" sqref="B2"/>
      <selection pane="bottomRight" activeCell="C8" sqref="C8:G21"/>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108</v>
      </c>
      <c r="B1" s="226" t="str">
        <f>Info!C2</f>
        <v>JSC "VTB Bank (Georgia)"</v>
      </c>
    </row>
    <row r="2" spans="1:9">
      <c r="A2" s="2" t="s">
        <v>109</v>
      </c>
      <c r="B2" s="336">
        <f>Info!D2</f>
        <v>45747</v>
      </c>
    </row>
    <row r="4" spans="1:9" ht="13.5" thickBot="1">
      <c r="A4" s="2" t="s">
        <v>261</v>
      </c>
      <c r="B4" s="196" t="s">
        <v>296</v>
      </c>
    </row>
    <row r="5" spans="1:9">
      <c r="A5" s="62"/>
      <c r="B5" s="103"/>
      <c r="C5" s="108" t="s">
        <v>0</v>
      </c>
      <c r="D5" s="108" t="s">
        <v>1</v>
      </c>
      <c r="E5" s="108" t="s">
        <v>2</v>
      </c>
      <c r="F5" s="108" t="s">
        <v>3</v>
      </c>
      <c r="G5" s="194" t="s">
        <v>4</v>
      </c>
      <c r="H5" s="109" t="s">
        <v>5</v>
      </c>
      <c r="I5" s="24"/>
    </row>
    <row r="6" spans="1:9" ht="15" customHeight="1">
      <c r="A6" s="102"/>
      <c r="B6" s="22"/>
      <c r="C6" s="850" t="s">
        <v>288</v>
      </c>
      <c r="D6" s="854" t="s">
        <v>309</v>
      </c>
      <c r="E6" s="855"/>
      <c r="F6" s="850" t="s">
        <v>315</v>
      </c>
      <c r="G6" s="850" t="s">
        <v>316</v>
      </c>
      <c r="H6" s="852" t="s">
        <v>290</v>
      </c>
      <c r="I6" s="24"/>
    </row>
    <row r="7" spans="1:9" ht="76.5">
      <c r="A7" s="102"/>
      <c r="B7" s="22"/>
      <c r="C7" s="851"/>
      <c r="D7" s="195" t="s">
        <v>291</v>
      </c>
      <c r="E7" s="195" t="s">
        <v>289</v>
      </c>
      <c r="F7" s="851"/>
      <c r="G7" s="851"/>
      <c r="H7" s="853"/>
      <c r="I7" s="24"/>
    </row>
    <row r="8" spans="1:9">
      <c r="A8" s="53">
        <v>1</v>
      </c>
      <c r="B8" s="123" t="s">
        <v>134</v>
      </c>
      <c r="C8" s="712">
        <v>351</v>
      </c>
      <c r="D8" s="713">
        <v>0</v>
      </c>
      <c r="E8" s="712">
        <v>0</v>
      </c>
      <c r="F8" s="712">
        <v>0</v>
      </c>
      <c r="G8" s="714">
        <v>0</v>
      </c>
      <c r="H8" s="201">
        <f>IFERROR(G8/(C8+E8),)</f>
        <v>0</v>
      </c>
    </row>
    <row r="9" spans="1:9" ht="15" customHeight="1">
      <c r="A9" s="53">
        <v>2</v>
      </c>
      <c r="B9" s="123" t="s">
        <v>135</v>
      </c>
      <c r="C9" s="712">
        <v>0</v>
      </c>
      <c r="D9" s="713">
        <v>0</v>
      </c>
      <c r="E9" s="712">
        <v>0</v>
      </c>
      <c r="F9" s="712">
        <v>0</v>
      </c>
      <c r="G9" s="714">
        <v>0</v>
      </c>
      <c r="H9" s="201">
        <f t="shared" ref="H9:H21" si="0">IFERROR(G9/(C9+E9),)</f>
        <v>0</v>
      </c>
    </row>
    <row r="10" spans="1:9">
      <c r="A10" s="53">
        <v>3</v>
      </c>
      <c r="B10" s="123" t="s">
        <v>136</v>
      </c>
      <c r="C10" s="712">
        <v>0</v>
      </c>
      <c r="D10" s="713">
        <v>0</v>
      </c>
      <c r="E10" s="712">
        <v>0</v>
      </c>
      <c r="F10" s="712">
        <v>0</v>
      </c>
      <c r="G10" s="714">
        <v>0</v>
      </c>
      <c r="H10" s="201">
        <f t="shared" si="0"/>
        <v>0</v>
      </c>
    </row>
    <row r="11" spans="1:9">
      <c r="A11" s="53">
        <v>4</v>
      </c>
      <c r="B11" s="123" t="s">
        <v>137</v>
      </c>
      <c r="C11" s="712">
        <v>0</v>
      </c>
      <c r="D11" s="713">
        <v>0</v>
      </c>
      <c r="E11" s="712">
        <v>0</v>
      </c>
      <c r="F11" s="712">
        <v>0</v>
      </c>
      <c r="G11" s="714">
        <v>0</v>
      </c>
      <c r="H11" s="201">
        <f t="shared" si="0"/>
        <v>0</v>
      </c>
    </row>
    <row r="12" spans="1:9">
      <c r="A12" s="53">
        <v>5</v>
      </c>
      <c r="B12" s="123" t="s">
        <v>948</v>
      </c>
      <c r="C12" s="712">
        <v>0</v>
      </c>
      <c r="D12" s="713">
        <v>0</v>
      </c>
      <c r="E12" s="712">
        <v>0</v>
      </c>
      <c r="F12" s="712">
        <v>0</v>
      </c>
      <c r="G12" s="714">
        <v>0</v>
      </c>
      <c r="H12" s="201">
        <f t="shared" si="0"/>
        <v>0</v>
      </c>
    </row>
    <row r="13" spans="1:9">
      <c r="A13" s="53">
        <v>6</v>
      </c>
      <c r="B13" s="123" t="s">
        <v>138</v>
      </c>
      <c r="C13" s="712">
        <v>6898837.8353000004</v>
      </c>
      <c r="D13" s="713">
        <v>0</v>
      </c>
      <c r="E13" s="712">
        <v>0</v>
      </c>
      <c r="F13" s="712">
        <v>2530674.1296899999</v>
      </c>
      <c r="G13" s="714">
        <v>2530674.1296899999</v>
      </c>
      <c r="H13" s="201">
        <f t="shared" si="0"/>
        <v>0.36682615102808136</v>
      </c>
    </row>
    <row r="14" spans="1:9">
      <c r="A14" s="53">
        <v>7</v>
      </c>
      <c r="B14" s="123" t="s">
        <v>71</v>
      </c>
      <c r="C14" s="712">
        <v>99530110.867577776</v>
      </c>
      <c r="D14" s="713">
        <v>208107.65764873091</v>
      </c>
      <c r="E14" s="712">
        <v>113826.46206630279</v>
      </c>
      <c r="F14" s="713">
        <v>99643937.329644084</v>
      </c>
      <c r="G14" s="715">
        <v>99622702.040812075</v>
      </c>
      <c r="H14" s="201">
        <f t="shared" si="0"/>
        <v>0.99978688830047169</v>
      </c>
    </row>
    <row r="15" spans="1:9">
      <c r="A15" s="53">
        <v>8</v>
      </c>
      <c r="B15" s="123" t="s">
        <v>72</v>
      </c>
      <c r="C15" s="712">
        <v>0</v>
      </c>
      <c r="D15" s="713">
        <v>0</v>
      </c>
      <c r="E15" s="712">
        <v>0</v>
      </c>
      <c r="F15" s="713">
        <v>0</v>
      </c>
      <c r="G15" s="715">
        <v>0</v>
      </c>
      <c r="H15" s="201">
        <f t="shared" si="0"/>
        <v>0</v>
      </c>
    </row>
    <row r="16" spans="1:9">
      <c r="A16" s="53">
        <v>9</v>
      </c>
      <c r="B16" s="123" t="s">
        <v>949</v>
      </c>
      <c r="C16" s="712">
        <v>6325189.2713782936</v>
      </c>
      <c r="D16" s="713">
        <v>0</v>
      </c>
      <c r="E16" s="712">
        <v>0</v>
      </c>
      <c r="F16" s="713">
        <v>2213008.3022981011</v>
      </c>
      <c r="G16" s="715">
        <v>2213008.3022981011</v>
      </c>
      <c r="H16" s="201">
        <f t="shared" si="0"/>
        <v>0.34987226584855607</v>
      </c>
    </row>
    <row r="17" spans="1:8">
      <c r="A17" s="53">
        <v>10</v>
      </c>
      <c r="B17" s="123" t="s">
        <v>67</v>
      </c>
      <c r="C17" s="712">
        <v>58066423.914887659</v>
      </c>
      <c r="D17" s="713">
        <v>0</v>
      </c>
      <c r="E17" s="712">
        <v>0</v>
      </c>
      <c r="F17" s="713">
        <v>74466427.92125845</v>
      </c>
      <c r="G17" s="715">
        <v>74266427.92125845</v>
      </c>
      <c r="H17" s="201">
        <f t="shared" si="0"/>
        <v>1.2789909023864869</v>
      </c>
    </row>
    <row r="18" spans="1:8">
      <c r="A18" s="53">
        <v>11</v>
      </c>
      <c r="B18" s="123" t="s">
        <v>68</v>
      </c>
      <c r="C18" s="712">
        <v>0</v>
      </c>
      <c r="D18" s="713">
        <v>0</v>
      </c>
      <c r="E18" s="712">
        <v>0</v>
      </c>
      <c r="F18" s="713">
        <v>0</v>
      </c>
      <c r="G18" s="715">
        <v>0</v>
      </c>
      <c r="H18" s="201">
        <f t="shared" si="0"/>
        <v>0</v>
      </c>
    </row>
    <row r="19" spans="1:8">
      <c r="A19" s="53">
        <v>12</v>
      </c>
      <c r="B19" s="123" t="s">
        <v>69</v>
      </c>
      <c r="C19" s="712">
        <v>0</v>
      </c>
      <c r="D19" s="713">
        <v>0</v>
      </c>
      <c r="E19" s="712">
        <v>0</v>
      </c>
      <c r="F19" s="713">
        <v>0</v>
      </c>
      <c r="G19" s="715">
        <v>0</v>
      </c>
      <c r="H19" s="201">
        <f t="shared" si="0"/>
        <v>0</v>
      </c>
    </row>
    <row r="20" spans="1:8">
      <c r="A20" s="53">
        <v>13</v>
      </c>
      <c r="B20" s="123" t="s">
        <v>70</v>
      </c>
      <c r="C20" s="712">
        <v>0</v>
      </c>
      <c r="D20" s="713">
        <v>0</v>
      </c>
      <c r="E20" s="712">
        <v>0</v>
      </c>
      <c r="F20" s="713">
        <v>0</v>
      </c>
      <c r="G20" s="715">
        <v>0</v>
      </c>
      <c r="H20" s="201">
        <f t="shared" si="0"/>
        <v>0</v>
      </c>
    </row>
    <row r="21" spans="1:8">
      <c r="A21" s="53">
        <v>14</v>
      </c>
      <c r="B21" s="123" t="s">
        <v>154</v>
      </c>
      <c r="C21" s="712">
        <v>277408503.91390002</v>
      </c>
      <c r="D21" s="713">
        <v>0</v>
      </c>
      <c r="E21" s="712">
        <v>0</v>
      </c>
      <c r="F21" s="715">
        <v>102044871.48</v>
      </c>
      <c r="G21" s="715">
        <v>102044871.48</v>
      </c>
      <c r="H21" s="201">
        <f t="shared" si="0"/>
        <v>0.36785055266969008</v>
      </c>
    </row>
    <row r="22" spans="1:8" ht="13.5" thickBot="1">
      <c r="A22" s="104"/>
      <c r="B22" s="110" t="s">
        <v>66</v>
      </c>
      <c r="C22" s="180">
        <f>SUM(C8:C21)</f>
        <v>448229416.80304372</v>
      </c>
      <c r="D22" s="180">
        <f>SUM(D8:D21)</f>
        <v>208107.65764873091</v>
      </c>
      <c r="E22" s="180">
        <f>SUM(E8:E21)</f>
        <v>113826.46206630279</v>
      </c>
      <c r="F22" s="180">
        <f>SUM(F8:F21)</f>
        <v>280898919.16289067</v>
      </c>
      <c r="G22" s="180">
        <f>SUM(G8:G21)</f>
        <v>280677683.87405866</v>
      </c>
      <c r="H22" s="202">
        <f>G22/(C22+E22)</f>
        <v>0.62603304073457633</v>
      </c>
    </row>
    <row r="23" spans="1:8">
      <c r="G23" s="694">
        <f>G22-'5. RWA'!C6</f>
        <v>0</v>
      </c>
      <c r="H23" s="694"/>
    </row>
    <row r="28" spans="1:8" ht="10.5" customHeight="1"/>
  </sheetData>
  <mergeCells count="5">
    <mergeCell ref="C6:C7"/>
    <mergeCell ref="F6:F7"/>
    <mergeCell ref="G6:G7"/>
    <mergeCell ref="H6:H7"/>
    <mergeCell ref="D6: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85" zoomScaleNormal="85" workbookViewId="0">
      <pane xSplit="2" ySplit="6" topLeftCell="C7" activePane="bottomRight" state="frozen"/>
      <selection activeCell="B2" sqref="B2"/>
      <selection pane="topRight" activeCell="B2" sqref="B2"/>
      <selection pane="bottomLeft" activeCell="B2" sqref="B2"/>
      <selection pane="bottomRight" activeCell="C8" sqref="C8:K25"/>
    </sheetView>
  </sheetViews>
  <sheetFormatPr defaultColWidth="9.28515625" defaultRowHeight="12.75"/>
  <cols>
    <col min="1" max="1" width="10.5703125" style="226" bestFit="1" customWidth="1"/>
    <col min="2" max="2" width="104.28515625" style="226" customWidth="1"/>
    <col min="3" max="11" width="12.7109375" style="226" customWidth="1"/>
    <col min="12" max="16384" width="9.28515625" style="226"/>
  </cols>
  <sheetData>
    <row r="1" spans="1:11">
      <c r="A1" s="226" t="s">
        <v>108</v>
      </c>
      <c r="B1" s="226" t="str">
        <f>Info!C2</f>
        <v>JSC "VTB Bank (Georgia)"</v>
      </c>
    </row>
    <row r="2" spans="1:11">
      <c r="A2" s="226" t="s">
        <v>109</v>
      </c>
      <c r="B2" s="742">
        <f>Info!D2</f>
        <v>45747</v>
      </c>
      <c r="C2" s="227"/>
      <c r="D2" s="227"/>
    </row>
    <row r="3" spans="1:11">
      <c r="B3" s="227"/>
      <c r="C3" s="227"/>
      <c r="D3" s="227"/>
    </row>
    <row r="4" spans="1:11" ht="13.5" thickBot="1">
      <c r="A4" s="226" t="s">
        <v>352</v>
      </c>
      <c r="B4" s="196" t="s">
        <v>351</v>
      </c>
      <c r="C4" s="227"/>
      <c r="D4" s="227"/>
    </row>
    <row r="5" spans="1:11" ht="30" customHeight="1">
      <c r="A5" s="859"/>
      <c r="B5" s="860"/>
      <c r="C5" s="857" t="s">
        <v>384</v>
      </c>
      <c r="D5" s="857"/>
      <c r="E5" s="857"/>
      <c r="F5" s="857" t="s">
        <v>385</v>
      </c>
      <c r="G5" s="857"/>
      <c r="H5" s="857"/>
      <c r="I5" s="857" t="s">
        <v>386</v>
      </c>
      <c r="J5" s="857"/>
      <c r="K5" s="858"/>
    </row>
    <row r="6" spans="1:11">
      <c r="A6" s="224"/>
      <c r="B6" s="225"/>
      <c r="C6" s="228" t="s">
        <v>26</v>
      </c>
      <c r="D6" s="228" t="s">
        <v>90</v>
      </c>
      <c r="E6" s="228" t="s">
        <v>66</v>
      </c>
      <c r="F6" s="228" t="s">
        <v>26</v>
      </c>
      <c r="G6" s="228" t="s">
        <v>90</v>
      </c>
      <c r="H6" s="228" t="s">
        <v>66</v>
      </c>
      <c r="I6" s="228" t="s">
        <v>26</v>
      </c>
      <c r="J6" s="228" t="s">
        <v>90</v>
      </c>
      <c r="K6" s="230" t="s">
        <v>66</v>
      </c>
    </row>
    <row r="7" spans="1:11">
      <c r="A7" s="231" t="s">
        <v>322</v>
      </c>
      <c r="B7" s="223"/>
      <c r="C7" s="223"/>
      <c r="D7" s="223"/>
      <c r="E7" s="223"/>
      <c r="F7" s="223"/>
      <c r="G7" s="223"/>
      <c r="H7" s="223"/>
      <c r="I7" s="223"/>
      <c r="J7" s="223"/>
      <c r="K7" s="232"/>
    </row>
    <row r="8" spans="1:11">
      <c r="A8" s="222">
        <v>1</v>
      </c>
      <c r="B8" s="207" t="s">
        <v>322</v>
      </c>
      <c r="C8" s="726"/>
      <c r="D8" s="726"/>
      <c r="E8" s="726"/>
      <c r="F8" s="727">
        <v>90051108.362111121</v>
      </c>
      <c r="G8" s="727">
        <v>72511367.487107813</v>
      </c>
      <c r="H8" s="727">
        <v>162562475.84921885</v>
      </c>
      <c r="I8" s="727">
        <v>90051108.362111121</v>
      </c>
      <c r="J8" s="727">
        <v>72511367.487107813</v>
      </c>
      <c r="K8" s="728">
        <v>162562475.84921885</v>
      </c>
    </row>
    <row r="9" spans="1:11">
      <c r="A9" s="231" t="s">
        <v>323</v>
      </c>
      <c r="B9" s="223"/>
      <c r="C9" s="729"/>
      <c r="D9" s="729"/>
      <c r="E9" s="729"/>
      <c r="F9" s="729"/>
      <c r="G9" s="729"/>
      <c r="H9" s="729"/>
      <c r="I9" s="729"/>
      <c r="J9" s="729"/>
      <c r="K9" s="730"/>
    </row>
    <row r="10" spans="1:11">
      <c r="A10" s="233">
        <v>2</v>
      </c>
      <c r="B10" s="208" t="s">
        <v>324</v>
      </c>
      <c r="C10" s="362">
        <v>3422709.0445555546</v>
      </c>
      <c r="D10" s="731">
        <v>455824.74655555567</v>
      </c>
      <c r="E10" s="731">
        <v>3878533.7911111116</v>
      </c>
      <c r="F10" s="731">
        <v>632337.22603444441</v>
      </c>
      <c r="G10" s="731">
        <v>120984.66775222226</v>
      </c>
      <c r="H10" s="731">
        <v>753321.8937866668</v>
      </c>
      <c r="I10" s="731">
        <v>157418.33272777768</v>
      </c>
      <c r="J10" s="731">
        <v>13509.665338888892</v>
      </c>
      <c r="K10" s="732">
        <v>170927.99806666674</v>
      </c>
    </row>
    <row r="11" spans="1:11">
      <c r="A11" s="233">
        <v>3</v>
      </c>
      <c r="B11" s="208" t="s">
        <v>325</v>
      </c>
      <c r="C11" s="362">
        <v>8408951.2451111153</v>
      </c>
      <c r="D11" s="731">
        <v>82831408.367000028</v>
      </c>
      <c r="E11" s="731">
        <v>91240359.612111107</v>
      </c>
      <c r="F11" s="731">
        <v>5895756.8173722243</v>
      </c>
      <c r="G11" s="731">
        <v>413402.06151111104</v>
      </c>
      <c r="H11" s="731">
        <v>6309158.8788833357</v>
      </c>
      <c r="I11" s="731">
        <v>3201836.8071111091</v>
      </c>
      <c r="J11" s="731">
        <v>383375.35656666651</v>
      </c>
      <c r="K11" s="732">
        <v>3585212.1636777772</v>
      </c>
    </row>
    <row r="12" spans="1:11">
      <c r="A12" s="233">
        <v>4</v>
      </c>
      <c r="B12" s="208" t="s">
        <v>326</v>
      </c>
      <c r="C12" s="362">
        <v>0</v>
      </c>
      <c r="D12" s="731">
        <v>0</v>
      </c>
      <c r="E12" s="731">
        <v>0</v>
      </c>
      <c r="F12" s="731">
        <v>0</v>
      </c>
      <c r="G12" s="731">
        <v>0</v>
      </c>
      <c r="H12" s="731">
        <v>0</v>
      </c>
      <c r="I12" s="731">
        <v>0</v>
      </c>
      <c r="J12" s="731">
        <v>0</v>
      </c>
      <c r="K12" s="732">
        <v>0</v>
      </c>
    </row>
    <row r="13" spans="1:11">
      <c r="A13" s="233">
        <v>5</v>
      </c>
      <c r="B13" s="208" t="s">
        <v>327</v>
      </c>
      <c r="C13" s="362">
        <v>200000</v>
      </c>
      <c r="D13" s="731">
        <v>16293.115361888895</v>
      </c>
      <c r="E13" s="731">
        <v>216293.11536188872</v>
      </c>
      <c r="F13" s="731">
        <v>20000</v>
      </c>
      <c r="G13" s="731">
        <v>1629.3115361888892</v>
      </c>
      <c r="H13" s="731">
        <v>21629.311536188885</v>
      </c>
      <c r="I13" s="731">
        <v>10000</v>
      </c>
      <c r="J13" s="731">
        <v>814.65576809444462</v>
      </c>
      <c r="K13" s="732">
        <v>10814.655768094442</v>
      </c>
    </row>
    <row r="14" spans="1:11">
      <c r="A14" s="233">
        <v>6</v>
      </c>
      <c r="B14" s="208" t="s">
        <v>342</v>
      </c>
      <c r="C14" s="362">
        <v>0</v>
      </c>
      <c r="D14" s="731">
        <v>0</v>
      </c>
      <c r="E14" s="731">
        <v>0</v>
      </c>
      <c r="F14" s="731">
        <v>0</v>
      </c>
      <c r="G14" s="731">
        <v>0</v>
      </c>
      <c r="H14" s="731">
        <v>0</v>
      </c>
      <c r="I14" s="731">
        <v>0</v>
      </c>
      <c r="J14" s="731">
        <v>0</v>
      </c>
      <c r="K14" s="732">
        <v>0</v>
      </c>
    </row>
    <row r="15" spans="1:11">
      <c r="A15" s="233">
        <v>7</v>
      </c>
      <c r="B15" s="208" t="s">
        <v>329</v>
      </c>
      <c r="C15" s="362">
        <v>4775117.9355555559</v>
      </c>
      <c r="D15" s="731">
        <v>40570942.966710024</v>
      </c>
      <c r="E15" s="731">
        <v>45346060.902265556</v>
      </c>
      <c r="F15" s="731">
        <v>279913.55022222217</v>
      </c>
      <c r="G15" s="731">
        <v>14608673.039590009</v>
      </c>
      <c r="H15" s="731">
        <v>14888586.589812212</v>
      </c>
      <c r="I15" s="731">
        <v>279913.55022222217</v>
      </c>
      <c r="J15" s="731">
        <v>14608673.039590009</v>
      </c>
      <c r="K15" s="732">
        <v>14888586.589812212</v>
      </c>
    </row>
    <row r="16" spans="1:11">
      <c r="A16" s="233">
        <v>8</v>
      </c>
      <c r="B16" s="209" t="s">
        <v>330</v>
      </c>
      <c r="C16" s="362">
        <v>16806778.225222226</v>
      </c>
      <c r="D16" s="731">
        <v>123874469.19562747</v>
      </c>
      <c r="E16" s="731">
        <v>140681247.42084971</v>
      </c>
      <c r="F16" s="731">
        <v>6828007.5936288871</v>
      </c>
      <c r="G16" s="731">
        <v>15144689.080389524</v>
      </c>
      <c r="H16" s="731">
        <v>21972696.674018409</v>
      </c>
      <c r="I16" s="731">
        <v>3649168.6900611124</v>
      </c>
      <c r="J16" s="731">
        <v>15006372.717263648</v>
      </c>
      <c r="K16" s="732">
        <v>18655541.407324754</v>
      </c>
    </row>
    <row r="17" spans="1:11">
      <c r="A17" s="231" t="s">
        <v>331</v>
      </c>
      <c r="B17" s="223"/>
      <c r="C17" s="729"/>
      <c r="D17" s="729"/>
      <c r="E17" s="729"/>
      <c r="F17" s="729"/>
      <c r="G17" s="729"/>
      <c r="H17" s="729"/>
      <c r="I17" s="729"/>
      <c r="J17" s="729"/>
      <c r="K17" s="730"/>
    </row>
    <row r="18" spans="1:11">
      <c r="A18" s="233">
        <v>9</v>
      </c>
      <c r="B18" s="208" t="s">
        <v>332</v>
      </c>
      <c r="C18" s="362">
        <v>0</v>
      </c>
      <c r="D18" s="731">
        <v>0</v>
      </c>
      <c r="E18" s="731">
        <v>0</v>
      </c>
      <c r="F18" s="731">
        <v>0</v>
      </c>
      <c r="G18" s="731">
        <v>0</v>
      </c>
      <c r="H18" s="731">
        <v>0</v>
      </c>
      <c r="I18" s="731">
        <v>0</v>
      </c>
      <c r="J18" s="731">
        <v>0</v>
      </c>
      <c r="K18" s="732">
        <v>0</v>
      </c>
    </row>
    <row r="19" spans="1:11">
      <c r="A19" s="233">
        <v>10</v>
      </c>
      <c r="B19" s="208" t="s">
        <v>333</v>
      </c>
      <c r="C19" s="362">
        <v>26535601.003957998</v>
      </c>
      <c r="D19" s="731">
        <v>31866743.145260662</v>
      </c>
      <c r="E19" s="731">
        <v>58402344.149218664</v>
      </c>
      <c r="F19" s="731">
        <v>29949.068464366108</v>
      </c>
      <c r="G19" s="731">
        <v>37688.406380562235</v>
      </c>
      <c r="H19" s="731">
        <v>67637.474844928351</v>
      </c>
      <c r="I19" s="731">
        <v>29949.068464366108</v>
      </c>
      <c r="J19" s="731">
        <v>37688.406380562235</v>
      </c>
      <c r="K19" s="732">
        <v>67637.474844928351</v>
      </c>
    </row>
    <row r="20" spans="1:11">
      <c r="A20" s="233">
        <v>11</v>
      </c>
      <c r="B20" s="208" t="s">
        <v>334</v>
      </c>
      <c r="C20" s="362">
        <v>14740926.421888884</v>
      </c>
      <c r="D20" s="731">
        <v>3484833.3963311138</v>
      </c>
      <c r="E20" s="731">
        <v>18225759.818219997</v>
      </c>
      <c r="F20" s="731">
        <v>0</v>
      </c>
      <c r="G20" s="731">
        <v>0</v>
      </c>
      <c r="H20" s="731">
        <v>0</v>
      </c>
      <c r="I20" s="731">
        <v>0</v>
      </c>
      <c r="J20" s="731">
        <v>0</v>
      </c>
      <c r="K20" s="732">
        <v>0</v>
      </c>
    </row>
    <row r="21" spans="1:11" ht="13.5" thickBot="1">
      <c r="A21" s="154">
        <v>12</v>
      </c>
      <c r="B21" s="234" t="s">
        <v>335</v>
      </c>
      <c r="C21" s="733">
        <v>41276527.425846897</v>
      </c>
      <c r="D21" s="734">
        <v>35351576.541591771</v>
      </c>
      <c r="E21" s="733">
        <v>76628103.967438608</v>
      </c>
      <c r="F21" s="734">
        <v>29949.068464366108</v>
      </c>
      <c r="G21" s="734">
        <v>37688.406380562235</v>
      </c>
      <c r="H21" s="734">
        <v>67637.474844928351</v>
      </c>
      <c r="I21" s="734">
        <v>29949.068464366108</v>
      </c>
      <c r="J21" s="734">
        <v>37688.406380562235</v>
      </c>
      <c r="K21" s="735">
        <v>67637.474844928351</v>
      </c>
    </row>
    <row r="22" spans="1:11" ht="38.25" customHeight="1" thickBot="1">
      <c r="A22" s="220"/>
      <c r="B22" s="221"/>
      <c r="C22" s="221"/>
      <c r="D22" s="221"/>
      <c r="E22" s="221"/>
      <c r="F22" s="856" t="s">
        <v>336</v>
      </c>
      <c r="G22" s="857"/>
      <c r="H22" s="857"/>
      <c r="I22" s="856" t="s">
        <v>337</v>
      </c>
      <c r="J22" s="857"/>
      <c r="K22" s="858"/>
    </row>
    <row r="23" spans="1:11">
      <c r="A23" s="213">
        <v>13</v>
      </c>
      <c r="B23" s="210" t="s">
        <v>322</v>
      </c>
      <c r="C23" s="219"/>
      <c r="D23" s="219"/>
      <c r="E23" s="219"/>
      <c r="F23" s="736">
        <v>90051108.362111121</v>
      </c>
      <c r="G23" s="736">
        <v>72511367.487107813</v>
      </c>
      <c r="H23" s="736">
        <v>162562475.84921885</v>
      </c>
      <c r="I23" s="736">
        <v>90051108.362111121</v>
      </c>
      <c r="J23" s="736">
        <v>72511367.487107813</v>
      </c>
      <c r="K23" s="737">
        <v>162562475.84921885</v>
      </c>
    </row>
    <row r="24" spans="1:11" ht="13.5" thickBot="1">
      <c r="A24" s="214">
        <v>14</v>
      </c>
      <c r="B24" s="211" t="s">
        <v>338</v>
      </c>
      <c r="C24" s="235"/>
      <c r="D24" s="217"/>
      <c r="E24" s="218"/>
      <c r="F24" s="738">
        <v>6798058.5251645213</v>
      </c>
      <c r="G24" s="738">
        <v>15107000.674008962</v>
      </c>
      <c r="H24" s="738">
        <v>21905059.19917348</v>
      </c>
      <c r="I24" s="738">
        <v>3619219.6215967461</v>
      </c>
      <c r="J24" s="738">
        <v>14968684.310883086</v>
      </c>
      <c r="K24" s="739">
        <v>18587903.932479825</v>
      </c>
    </row>
    <row r="25" spans="1:11" ht="13.5" thickBot="1">
      <c r="A25" s="215">
        <v>15</v>
      </c>
      <c r="B25" s="212" t="s">
        <v>339</v>
      </c>
      <c r="C25" s="216"/>
      <c r="D25" s="216"/>
      <c r="E25" s="216"/>
      <c r="F25" s="740">
        <v>13.24659210107812</v>
      </c>
      <c r="G25" s="740">
        <v>4.7998520058227676</v>
      </c>
      <c r="H25" s="740">
        <v>7.4212296972633904</v>
      </c>
      <c r="I25" s="740">
        <v>24.881360563132088</v>
      </c>
      <c r="J25" s="740">
        <v>4.8442044725592828</v>
      </c>
      <c r="K25" s="741">
        <v>8.7456055529296712</v>
      </c>
    </row>
    <row r="28" spans="1:11" ht="38.25">
      <c r="B28" s="23" t="s">
        <v>383</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N22"/>
  <sheetViews>
    <sheetView zoomScale="85" zoomScaleNormal="85" workbookViewId="0">
      <pane xSplit="1" ySplit="5" topLeftCell="B9" activePane="bottomRight" state="frozen"/>
      <selection activeCell="B2" sqref="B2"/>
      <selection pane="topRight" activeCell="B2" sqref="B2"/>
      <selection pane="bottomLeft" activeCell="B2" sqref="B2"/>
      <selection pane="bottomRight" activeCell="B2" sqref="B2"/>
    </sheetView>
  </sheetViews>
  <sheetFormatPr defaultColWidth="9.28515625" defaultRowHeight="15"/>
  <cols>
    <col min="1" max="1" width="10.5703125" style="38" bestFit="1" customWidth="1"/>
    <col min="2" max="2" width="95" style="38" customWidth="1"/>
    <col min="3" max="3" width="12.5703125" style="38" bestFit="1" customWidth="1"/>
    <col min="4" max="4" width="10" style="38" bestFit="1" customWidth="1"/>
    <col min="5" max="5" width="18.28515625" style="38" bestFit="1" customWidth="1"/>
    <col min="6" max="13" width="10.7109375" style="38" customWidth="1"/>
    <col min="14" max="14" width="31" style="38" bestFit="1" customWidth="1"/>
    <col min="15" max="16384" width="9.28515625" style="12"/>
  </cols>
  <sheetData>
    <row r="1" spans="1:14">
      <c r="A1" s="5" t="s">
        <v>108</v>
      </c>
      <c r="B1" s="38" t="str">
        <f>Info!C2</f>
        <v>JSC "VTB Bank (Georgia)"</v>
      </c>
    </row>
    <row r="2" spans="1:14" ht="14.25" customHeight="1">
      <c r="A2" s="38" t="s">
        <v>109</v>
      </c>
      <c r="B2" s="336">
        <f>Info!D2</f>
        <v>45747</v>
      </c>
    </row>
    <row r="3" spans="1:14" ht="14.25" customHeight="1"/>
    <row r="4" spans="1:14" ht="15.75" thickBot="1">
      <c r="A4" s="2" t="s">
        <v>262</v>
      </c>
      <c r="B4" s="55" t="s">
        <v>74</v>
      </c>
    </row>
    <row r="5" spans="1:14" s="25" customFormat="1" ht="12.75">
      <c r="A5" s="119"/>
      <c r="B5" s="120"/>
      <c r="C5" s="121" t="s">
        <v>0</v>
      </c>
      <c r="D5" s="121" t="s">
        <v>1</v>
      </c>
      <c r="E5" s="121" t="s">
        <v>2</v>
      </c>
      <c r="F5" s="121" t="s">
        <v>3</v>
      </c>
      <c r="G5" s="121" t="s">
        <v>4</v>
      </c>
      <c r="H5" s="121" t="s">
        <v>5</v>
      </c>
      <c r="I5" s="121" t="s">
        <v>145</v>
      </c>
      <c r="J5" s="121" t="s">
        <v>146</v>
      </c>
      <c r="K5" s="121" t="s">
        <v>147</v>
      </c>
      <c r="L5" s="121" t="s">
        <v>148</v>
      </c>
      <c r="M5" s="121" t="s">
        <v>149</v>
      </c>
      <c r="N5" s="122" t="s">
        <v>150</v>
      </c>
    </row>
    <row r="6" spans="1:14" ht="45">
      <c r="A6" s="111"/>
      <c r="B6" s="67"/>
      <c r="C6" s="68" t="s">
        <v>84</v>
      </c>
      <c r="D6" s="69" t="s">
        <v>73</v>
      </c>
      <c r="E6" s="70" t="s">
        <v>83</v>
      </c>
      <c r="F6" s="71">
        <v>0</v>
      </c>
      <c r="G6" s="71">
        <v>0.2</v>
      </c>
      <c r="H6" s="71">
        <v>0.35</v>
      </c>
      <c r="I6" s="71">
        <v>0.5</v>
      </c>
      <c r="J6" s="71">
        <v>0.75</v>
      </c>
      <c r="K6" s="71">
        <v>1</v>
      </c>
      <c r="L6" s="71">
        <v>1.5</v>
      </c>
      <c r="M6" s="71">
        <v>2.5</v>
      </c>
      <c r="N6" s="112" t="s">
        <v>74</v>
      </c>
    </row>
    <row r="7" spans="1:14">
      <c r="A7" s="113">
        <v>1</v>
      </c>
      <c r="B7" s="72" t="s">
        <v>75</v>
      </c>
      <c r="C7" s="185">
        <f>SUM(C8:C13)</f>
        <v>0</v>
      </c>
      <c r="D7" s="67"/>
      <c r="E7" s="188">
        <f t="shared" ref="E7:M7" si="0">SUM(E8:E13)</f>
        <v>0</v>
      </c>
      <c r="F7" s="185">
        <f>SUM(F8:F13)</f>
        <v>0</v>
      </c>
      <c r="G7" s="185">
        <f t="shared" si="0"/>
        <v>0</v>
      </c>
      <c r="H7" s="185">
        <f t="shared" si="0"/>
        <v>0</v>
      </c>
      <c r="I7" s="185">
        <f t="shared" si="0"/>
        <v>0</v>
      </c>
      <c r="J7" s="185">
        <f t="shared" si="0"/>
        <v>0</v>
      </c>
      <c r="K7" s="185">
        <f t="shared" si="0"/>
        <v>0</v>
      </c>
      <c r="L7" s="185">
        <f t="shared" si="0"/>
        <v>0</v>
      </c>
      <c r="M7" s="185">
        <f t="shared" si="0"/>
        <v>0</v>
      </c>
      <c r="N7" s="114">
        <f>SUM(N8:N13)</f>
        <v>0</v>
      </c>
    </row>
    <row r="8" spans="1:14">
      <c r="A8" s="113">
        <v>1.1000000000000001</v>
      </c>
      <c r="B8" s="73" t="s">
        <v>76</v>
      </c>
      <c r="C8" s="186">
        <v>0</v>
      </c>
      <c r="D8" s="74">
        <v>0.02</v>
      </c>
      <c r="E8" s="188">
        <f>C8*D8</f>
        <v>0</v>
      </c>
      <c r="F8" s="186"/>
      <c r="G8" s="186"/>
      <c r="H8" s="186"/>
      <c r="I8" s="186"/>
      <c r="J8" s="186"/>
      <c r="K8" s="186"/>
      <c r="L8" s="186"/>
      <c r="M8" s="186"/>
      <c r="N8" s="114">
        <f>SUMPRODUCT($F$6:$M$6,F8:M8)</f>
        <v>0</v>
      </c>
    </row>
    <row r="9" spans="1:14">
      <c r="A9" s="113">
        <v>1.2</v>
      </c>
      <c r="B9" s="73" t="s">
        <v>77</v>
      </c>
      <c r="C9" s="186">
        <v>0</v>
      </c>
      <c r="D9" s="74">
        <v>0.05</v>
      </c>
      <c r="E9" s="188">
        <f>C9*D9</f>
        <v>0</v>
      </c>
      <c r="F9" s="186"/>
      <c r="G9" s="186"/>
      <c r="H9" s="186"/>
      <c r="I9" s="186"/>
      <c r="J9" s="186"/>
      <c r="K9" s="186"/>
      <c r="L9" s="186"/>
      <c r="M9" s="186"/>
      <c r="N9" s="114">
        <f t="shared" ref="N9:N12" si="1">SUMPRODUCT($F$6:$M$6,F9:M9)</f>
        <v>0</v>
      </c>
    </row>
    <row r="10" spans="1:14">
      <c r="A10" s="113">
        <v>1.3</v>
      </c>
      <c r="B10" s="73" t="s">
        <v>78</v>
      </c>
      <c r="C10" s="186">
        <v>0</v>
      </c>
      <c r="D10" s="74">
        <v>0.08</v>
      </c>
      <c r="E10" s="188">
        <f>C10*D10</f>
        <v>0</v>
      </c>
      <c r="F10" s="186"/>
      <c r="G10" s="186"/>
      <c r="H10" s="186"/>
      <c r="I10" s="186"/>
      <c r="J10" s="186"/>
      <c r="K10" s="186"/>
      <c r="L10" s="186"/>
      <c r="M10" s="186"/>
      <c r="N10" s="114">
        <f>SUMPRODUCT($F$6:$M$6,F10:M10)</f>
        <v>0</v>
      </c>
    </row>
    <row r="11" spans="1:14">
      <c r="A11" s="113">
        <v>1.4</v>
      </c>
      <c r="B11" s="73" t="s">
        <v>79</v>
      </c>
      <c r="C11" s="186">
        <v>0</v>
      </c>
      <c r="D11" s="74">
        <v>0.11</v>
      </c>
      <c r="E11" s="188">
        <f>C11*D11</f>
        <v>0</v>
      </c>
      <c r="F11" s="186"/>
      <c r="G11" s="186"/>
      <c r="H11" s="186"/>
      <c r="I11" s="186"/>
      <c r="J11" s="186"/>
      <c r="K11" s="186"/>
      <c r="L11" s="186"/>
      <c r="M11" s="186"/>
      <c r="N11" s="114">
        <f t="shared" si="1"/>
        <v>0</v>
      </c>
    </row>
    <row r="12" spans="1:14">
      <c r="A12" s="113">
        <v>1.5</v>
      </c>
      <c r="B12" s="73" t="s">
        <v>80</v>
      </c>
      <c r="C12" s="186">
        <v>0</v>
      </c>
      <c r="D12" s="74">
        <v>0.14000000000000001</v>
      </c>
      <c r="E12" s="188">
        <f>C12*D12</f>
        <v>0</v>
      </c>
      <c r="F12" s="186"/>
      <c r="G12" s="186"/>
      <c r="H12" s="186"/>
      <c r="I12" s="186"/>
      <c r="J12" s="186"/>
      <c r="K12" s="186"/>
      <c r="L12" s="186"/>
      <c r="M12" s="186"/>
      <c r="N12" s="114">
        <f t="shared" si="1"/>
        <v>0</v>
      </c>
    </row>
    <row r="13" spans="1:14">
      <c r="A13" s="113">
        <v>1.6</v>
      </c>
      <c r="B13" s="75" t="s">
        <v>81</v>
      </c>
      <c r="C13" s="186">
        <v>0</v>
      </c>
      <c r="D13" s="76"/>
      <c r="E13" s="186"/>
      <c r="F13" s="186"/>
      <c r="G13" s="186"/>
      <c r="H13" s="186"/>
      <c r="I13" s="186"/>
      <c r="J13" s="186"/>
      <c r="K13" s="186"/>
      <c r="L13" s="186"/>
      <c r="M13" s="186"/>
      <c r="N13" s="114">
        <f>SUMPRODUCT($F$6:$M$6,F13:M13)</f>
        <v>0</v>
      </c>
    </row>
    <row r="14" spans="1:14">
      <c r="A14" s="113">
        <v>2</v>
      </c>
      <c r="B14" s="77" t="s">
        <v>82</v>
      </c>
      <c r="C14" s="185">
        <f>SUM(C15:C20)</f>
        <v>0</v>
      </c>
      <c r="D14" s="67"/>
      <c r="E14" s="188">
        <f t="shared" ref="E14:M14" si="2">SUM(E15:E20)</f>
        <v>0</v>
      </c>
      <c r="F14" s="186">
        <f t="shared" si="2"/>
        <v>0</v>
      </c>
      <c r="G14" s="186">
        <f t="shared" si="2"/>
        <v>0</v>
      </c>
      <c r="H14" s="186">
        <f t="shared" si="2"/>
        <v>0</v>
      </c>
      <c r="I14" s="186">
        <f t="shared" si="2"/>
        <v>0</v>
      </c>
      <c r="J14" s="186">
        <f t="shared" si="2"/>
        <v>0</v>
      </c>
      <c r="K14" s="186">
        <f t="shared" si="2"/>
        <v>0</v>
      </c>
      <c r="L14" s="186">
        <f t="shared" si="2"/>
        <v>0</v>
      </c>
      <c r="M14" s="186">
        <f t="shared" si="2"/>
        <v>0</v>
      </c>
      <c r="N14" s="114">
        <f>SUM(N15:N20)</f>
        <v>0</v>
      </c>
    </row>
    <row r="15" spans="1:14">
      <c r="A15" s="113">
        <v>2.1</v>
      </c>
      <c r="B15" s="75" t="s">
        <v>76</v>
      </c>
      <c r="C15" s="186"/>
      <c r="D15" s="74">
        <v>5.0000000000000001E-3</v>
      </c>
      <c r="E15" s="188">
        <f>C15*D15</f>
        <v>0</v>
      </c>
      <c r="F15" s="186"/>
      <c r="G15" s="186"/>
      <c r="H15" s="186"/>
      <c r="I15" s="186"/>
      <c r="J15" s="186"/>
      <c r="K15" s="186"/>
      <c r="L15" s="186"/>
      <c r="M15" s="186"/>
      <c r="N15" s="114">
        <f>SUMPRODUCT($F$6:$M$6,F15:M15)</f>
        <v>0</v>
      </c>
    </row>
    <row r="16" spans="1:14">
      <c r="A16" s="113">
        <v>2.2000000000000002</v>
      </c>
      <c r="B16" s="75" t="s">
        <v>77</v>
      </c>
      <c r="C16" s="186"/>
      <c r="D16" s="74">
        <v>0.01</v>
      </c>
      <c r="E16" s="188">
        <f>C16*D16</f>
        <v>0</v>
      </c>
      <c r="F16" s="186"/>
      <c r="G16" s="186"/>
      <c r="H16" s="186"/>
      <c r="I16" s="186"/>
      <c r="J16" s="186"/>
      <c r="K16" s="186"/>
      <c r="L16" s="186"/>
      <c r="M16" s="186"/>
      <c r="N16" s="114">
        <f t="shared" ref="N16:N20" si="3">SUMPRODUCT($F$6:$M$6,F16:M16)</f>
        <v>0</v>
      </c>
    </row>
    <row r="17" spans="1:14">
      <c r="A17" s="113">
        <v>2.2999999999999998</v>
      </c>
      <c r="B17" s="75" t="s">
        <v>78</v>
      </c>
      <c r="C17" s="186"/>
      <c r="D17" s="74">
        <v>0.02</v>
      </c>
      <c r="E17" s="188">
        <f>C17*D17</f>
        <v>0</v>
      </c>
      <c r="F17" s="186"/>
      <c r="G17" s="186"/>
      <c r="H17" s="186"/>
      <c r="I17" s="186"/>
      <c r="J17" s="186"/>
      <c r="K17" s="186"/>
      <c r="L17" s="186"/>
      <c r="M17" s="186"/>
      <c r="N17" s="114">
        <f t="shared" si="3"/>
        <v>0</v>
      </c>
    </row>
    <row r="18" spans="1:14">
      <c r="A18" s="113">
        <v>2.4</v>
      </c>
      <c r="B18" s="75" t="s">
        <v>79</v>
      </c>
      <c r="C18" s="186"/>
      <c r="D18" s="74">
        <v>0.03</v>
      </c>
      <c r="E18" s="188">
        <f>C18*D18</f>
        <v>0</v>
      </c>
      <c r="F18" s="186"/>
      <c r="G18" s="186"/>
      <c r="H18" s="186"/>
      <c r="I18" s="186"/>
      <c r="J18" s="186"/>
      <c r="K18" s="186"/>
      <c r="L18" s="186"/>
      <c r="M18" s="186"/>
      <c r="N18" s="114">
        <f t="shared" si="3"/>
        <v>0</v>
      </c>
    </row>
    <row r="19" spans="1:14">
      <c r="A19" s="113">
        <v>2.5</v>
      </c>
      <c r="B19" s="75" t="s">
        <v>80</v>
      </c>
      <c r="C19" s="186"/>
      <c r="D19" s="74">
        <v>0.04</v>
      </c>
      <c r="E19" s="188">
        <f>C19*D19</f>
        <v>0</v>
      </c>
      <c r="F19" s="186"/>
      <c r="G19" s="186"/>
      <c r="H19" s="186"/>
      <c r="I19" s="186"/>
      <c r="J19" s="186"/>
      <c r="K19" s="186"/>
      <c r="L19" s="186"/>
      <c r="M19" s="186"/>
      <c r="N19" s="114">
        <f t="shared" si="3"/>
        <v>0</v>
      </c>
    </row>
    <row r="20" spans="1:14">
      <c r="A20" s="113">
        <v>2.6</v>
      </c>
      <c r="B20" s="75" t="s">
        <v>81</v>
      </c>
      <c r="C20" s="186"/>
      <c r="D20" s="76"/>
      <c r="E20" s="189"/>
      <c r="F20" s="186"/>
      <c r="G20" s="186"/>
      <c r="H20" s="186"/>
      <c r="I20" s="186"/>
      <c r="J20" s="186"/>
      <c r="K20" s="186"/>
      <c r="L20" s="186"/>
      <c r="M20" s="186"/>
      <c r="N20" s="114">
        <f t="shared" si="3"/>
        <v>0</v>
      </c>
    </row>
    <row r="21" spans="1:14" ht="15.75" thickBot="1">
      <c r="A21" s="115">
        <v>3</v>
      </c>
      <c r="B21" s="116" t="s">
        <v>66</v>
      </c>
      <c r="C21" s="187">
        <f>C14+C7</f>
        <v>0</v>
      </c>
      <c r="D21" s="117"/>
      <c r="E21" s="190">
        <f>E14+E7</f>
        <v>0</v>
      </c>
      <c r="F21" s="191">
        <f>F7+F14</f>
        <v>0</v>
      </c>
      <c r="G21" s="191">
        <f t="shared" ref="G21:L21" si="4">G7+G14</f>
        <v>0</v>
      </c>
      <c r="H21" s="191">
        <f t="shared" si="4"/>
        <v>0</v>
      </c>
      <c r="I21" s="191">
        <f t="shared" si="4"/>
        <v>0</v>
      </c>
      <c r="J21" s="191">
        <f t="shared" si="4"/>
        <v>0</v>
      </c>
      <c r="K21" s="191">
        <f t="shared" si="4"/>
        <v>0</v>
      </c>
      <c r="L21" s="191">
        <f t="shared" si="4"/>
        <v>0</v>
      </c>
      <c r="M21" s="191">
        <f>M7+M14</f>
        <v>0</v>
      </c>
      <c r="N21" s="118">
        <f>N14+N7</f>
        <v>0</v>
      </c>
    </row>
    <row r="22" spans="1:14">
      <c r="E22" s="192"/>
      <c r="F22" s="192"/>
      <c r="G22" s="192"/>
      <c r="H22" s="192"/>
      <c r="I22" s="192"/>
      <c r="J22" s="192"/>
      <c r="K22" s="192"/>
      <c r="L22" s="192"/>
      <c r="M22" s="192"/>
    </row>
  </sheetData>
  <conditionalFormatting sqref="E8:E12">
    <cfRule type="expression" dxfId="28" priority="2">
      <formula>(C8*D8)&lt;&gt;SUM(#REF!)</formula>
    </cfRule>
  </conditionalFormatting>
  <conditionalFormatting sqref="E20">
    <cfRule type="expression" dxfId="27" priority="3">
      <formula>$E$88&lt;&gt;SUM(#REF!)</formula>
    </cfRule>
  </conditionalFormatting>
  <conditionalFormatting sqref="E15:E19">
    <cfRule type="expression" dxfId="26" priority="1">
      <formula>(C15*D15)&lt;&gt;SUM(#REF!)</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43"/>
  <sheetViews>
    <sheetView zoomScale="70" zoomScaleNormal="70" workbookViewId="0">
      <selection activeCell="C6" sqref="C6:C7"/>
    </sheetView>
  </sheetViews>
  <sheetFormatPr defaultRowHeight="15"/>
  <cols>
    <col min="1" max="1" width="11.42578125" customWidth="1"/>
    <col min="2" max="2" width="76.7109375" style="4" customWidth="1"/>
    <col min="3" max="3" width="22.7109375" customWidth="1"/>
  </cols>
  <sheetData>
    <row r="1" spans="1:3">
      <c r="A1" s="226" t="s">
        <v>108</v>
      </c>
      <c r="B1" t="str">
        <f>Info!C2</f>
        <v>JSC "VTB Bank (Georgia)"</v>
      </c>
    </row>
    <row r="2" spans="1:3">
      <c r="A2" s="226" t="s">
        <v>109</v>
      </c>
      <c r="B2" s="336">
        <f>Info!D2</f>
        <v>45747</v>
      </c>
    </row>
    <row r="3" spans="1:3">
      <c r="A3" s="226"/>
      <c r="B3"/>
    </row>
    <row r="4" spans="1:3">
      <c r="A4" s="226" t="s">
        <v>428</v>
      </c>
      <c r="B4" t="s">
        <v>387</v>
      </c>
    </row>
    <row r="5" spans="1:3">
      <c r="A5" s="277"/>
      <c r="B5" s="277" t="s">
        <v>388</v>
      </c>
      <c r="C5" s="289"/>
    </row>
    <row r="6" spans="1:3">
      <c r="A6" s="278">
        <v>1</v>
      </c>
      <c r="B6" s="290" t="s">
        <v>440</v>
      </c>
      <c r="C6" s="716">
        <v>449191008.04304373</v>
      </c>
    </row>
    <row r="7" spans="1:3">
      <c r="A7" s="278">
        <v>2</v>
      </c>
      <c r="B7" s="290" t="s">
        <v>389</v>
      </c>
      <c r="C7" s="716">
        <v>-13406699.24</v>
      </c>
    </row>
    <row r="8" spans="1:3">
      <c r="A8" s="279">
        <v>3</v>
      </c>
      <c r="B8" s="292" t="s">
        <v>390</v>
      </c>
      <c r="C8" s="293">
        <f>C6+C7</f>
        <v>435784308.80304372</v>
      </c>
    </row>
    <row r="9" spans="1:3">
      <c r="A9" s="280"/>
      <c r="B9" s="280" t="s">
        <v>391</v>
      </c>
      <c r="C9" s="294"/>
    </row>
    <row r="10" spans="1:3">
      <c r="A10" s="281">
        <v>4</v>
      </c>
      <c r="B10" s="295" t="s">
        <v>392</v>
      </c>
      <c r="C10" s="291"/>
    </row>
    <row r="11" spans="1:3">
      <c r="A11" s="281">
        <v>5</v>
      </c>
      <c r="B11" s="296" t="s">
        <v>393</v>
      </c>
      <c r="C11" s="291"/>
    </row>
    <row r="12" spans="1:3">
      <c r="A12" s="281" t="s">
        <v>394</v>
      </c>
      <c r="B12" s="290" t="s">
        <v>395</v>
      </c>
      <c r="C12" s="293">
        <f>'15. CCR'!E21</f>
        <v>0</v>
      </c>
    </row>
    <row r="13" spans="1:3">
      <c r="A13" s="282">
        <v>6</v>
      </c>
      <c r="B13" s="297" t="s">
        <v>396</v>
      </c>
      <c r="C13" s="291"/>
    </row>
    <row r="14" spans="1:3">
      <c r="A14" s="282">
        <v>7</v>
      </c>
      <c r="B14" s="298" t="s">
        <v>397</v>
      </c>
      <c r="C14" s="291"/>
    </row>
    <row r="15" spans="1:3">
      <c r="A15" s="283">
        <v>8</v>
      </c>
      <c r="B15" s="290" t="s">
        <v>398</v>
      </c>
      <c r="C15" s="291"/>
    </row>
    <row r="16" spans="1:3" ht="24">
      <c r="A16" s="282">
        <v>9</v>
      </c>
      <c r="B16" s="298" t="s">
        <v>399</v>
      </c>
      <c r="C16" s="291"/>
    </row>
    <row r="17" spans="1:3">
      <c r="A17" s="282">
        <v>10</v>
      </c>
      <c r="B17" s="298" t="s">
        <v>400</v>
      </c>
      <c r="C17" s="291"/>
    </row>
    <row r="18" spans="1:3">
      <c r="A18" s="284">
        <v>11</v>
      </c>
      <c r="B18" s="299" t="s">
        <v>401</v>
      </c>
      <c r="C18" s="293">
        <f>SUM(C10:C17)</f>
        <v>0</v>
      </c>
    </row>
    <row r="19" spans="1:3">
      <c r="A19" s="280"/>
      <c r="B19" s="280" t="s">
        <v>402</v>
      </c>
      <c r="C19" s="300"/>
    </row>
    <row r="20" spans="1:3">
      <c r="A20" s="282">
        <v>12</v>
      </c>
      <c r="B20" s="295" t="s">
        <v>403</v>
      </c>
      <c r="C20" s="291"/>
    </row>
    <row r="21" spans="1:3">
      <c r="A21" s="282">
        <v>13</v>
      </c>
      <c r="B21" s="295" t="s">
        <v>404</v>
      </c>
      <c r="C21" s="291"/>
    </row>
    <row r="22" spans="1:3">
      <c r="A22" s="282">
        <v>14</v>
      </c>
      <c r="B22" s="295" t="s">
        <v>405</v>
      </c>
      <c r="C22" s="291"/>
    </row>
    <row r="23" spans="1:3" ht="24">
      <c r="A23" s="282" t="s">
        <v>406</v>
      </c>
      <c r="B23" s="295" t="s">
        <v>407</v>
      </c>
      <c r="C23" s="291"/>
    </row>
    <row r="24" spans="1:3">
      <c r="A24" s="282">
        <v>15</v>
      </c>
      <c r="B24" s="295" t="s">
        <v>408</v>
      </c>
      <c r="C24" s="291"/>
    </row>
    <row r="25" spans="1:3">
      <c r="A25" s="282" t="s">
        <v>409</v>
      </c>
      <c r="B25" s="290" t="s">
        <v>410</v>
      </c>
      <c r="C25" s="291"/>
    </row>
    <row r="26" spans="1:3">
      <c r="A26" s="284">
        <v>16</v>
      </c>
      <c r="B26" s="299" t="s">
        <v>411</v>
      </c>
      <c r="C26" s="293">
        <f>SUM(C20:C25)</f>
        <v>0</v>
      </c>
    </row>
    <row r="27" spans="1:3">
      <c r="A27" s="280"/>
      <c r="B27" s="280" t="s">
        <v>412</v>
      </c>
      <c r="C27" s="294"/>
    </row>
    <row r="28" spans="1:3">
      <c r="A28" s="281">
        <v>17</v>
      </c>
      <c r="B28" s="290" t="s">
        <v>413</v>
      </c>
      <c r="C28" s="291"/>
    </row>
    <row r="29" spans="1:3">
      <c r="A29" s="281">
        <v>18</v>
      </c>
      <c r="B29" s="290" t="s">
        <v>414</v>
      </c>
      <c r="C29" s="291"/>
    </row>
    <row r="30" spans="1:3">
      <c r="A30" s="284">
        <v>19</v>
      </c>
      <c r="B30" s="299" t="s">
        <v>415</v>
      </c>
      <c r="C30" s="293">
        <f>C28+C29</f>
        <v>0</v>
      </c>
    </row>
    <row r="31" spans="1:3">
      <c r="A31" s="285"/>
      <c r="B31" s="280" t="s">
        <v>416</v>
      </c>
      <c r="C31" s="294"/>
    </row>
    <row r="32" spans="1:3">
      <c r="A32" s="281" t="s">
        <v>417</v>
      </c>
      <c r="B32" s="295" t="s">
        <v>418</v>
      </c>
      <c r="C32" s="301"/>
    </row>
    <row r="33" spans="1:3">
      <c r="A33" s="281" t="s">
        <v>419</v>
      </c>
      <c r="B33" s="296" t="s">
        <v>420</v>
      </c>
      <c r="C33" s="301"/>
    </row>
    <row r="34" spans="1:3">
      <c r="A34" s="280"/>
      <c r="B34" s="280" t="s">
        <v>421</v>
      </c>
      <c r="C34" s="294"/>
    </row>
    <row r="35" spans="1:3">
      <c r="A35" s="284">
        <v>20</v>
      </c>
      <c r="B35" s="299" t="s">
        <v>86</v>
      </c>
      <c r="C35" s="293">
        <f>'1. key ratios'!C9</f>
        <v>283625135.38426292</v>
      </c>
    </row>
    <row r="36" spans="1:3">
      <c r="A36" s="284">
        <v>21</v>
      </c>
      <c r="B36" s="299" t="s">
        <v>422</v>
      </c>
      <c r="C36" s="293">
        <f>C8+C18+C26+C30</f>
        <v>435784308.80304372</v>
      </c>
    </row>
    <row r="37" spans="1:3">
      <c r="A37" s="286"/>
      <c r="B37" s="286" t="s">
        <v>387</v>
      </c>
      <c r="C37" s="294"/>
    </row>
    <row r="38" spans="1:3">
      <c r="A38" s="284">
        <v>22</v>
      </c>
      <c r="B38" s="299" t="s">
        <v>387</v>
      </c>
      <c r="C38" s="631">
        <f>IFERROR(C35/C36,0)</f>
        <v>0.65083833826713022</v>
      </c>
    </row>
    <row r="39" spans="1:3">
      <c r="A39" s="286"/>
      <c r="B39" s="286" t="s">
        <v>423</v>
      </c>
      <c r="C39" s="294"/>
    </row>
    <row r="40" spans="1:3">
      <c r="A40" s="287" t="s">
        <v>424</v>
      </c>
      <c r="B40" s="295" t="s">
        <v>425</v>
      </c>
      <c r="C40" s="301"/>
    </row>
    <row r="41" spans="1:3">
      <c r="A41" s="288" t="s">
        <v>426</v>
      </c>
      <c r="B41" s="296" t="s">
        <v>427</v>
      </c>
      <c r="C41" s="301"/>
    </row>
    <row r="43" spans="1:3">
      <c r="B43" s="306" t="s">
        <v>441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50" zoomScaleNormal="50" workbookViewId="0">
      <pane xSplit="2" ySplit="6" topLeftCell="C7" activePane="bottomRight" state="frozen"/>
      <selection activeCell="B2" sqref="B2"/>
      <selection pane="topRight" activeCell="B2" sqref="B2"/>
      <selection pane="bottomLeft" activeCell="B2" sqref="B2"/>
      <selection pane="bottomRight" activeCell="C8" sqref="C8:G37"/>
    </sheetView>
  </sheetViews>
  <sheetFormatPr defaultRowHeight="15"/>
  <cols>
    <col min="1" max="1" width="9.85546875" style="226" bestFit="1" customWidth="1"/>
    <col min="2" max="2" width="82.7109375" style="23" customWidth="1"/>
    <col min="3" max="7" width="17.5703125" style="226" customWidth="1"/>
  </cols>
  <sheetData>
    <row r="1" spans="1:7">
      <c r="A1" s="226" t="s">
        <v>108</v>
      </c>
      <c r="B1" s="226" t="str">
        <f>Info!C2</f>
        <v>JSC "VTB Bank (Georgia)"</v>
      </c>
    </row>
    <row r="2" spans="1:7">
      <c r="A2" s="226" t="s">
        <v>109</v>
      </c>
      <c r="B2" s="742">
        <f>Info!D2</f>
        <v>45747</v>
      </c>
    </row>
    <row r="3" spans="1:7">
      <c r="B3" s="336"/>
    </row>
    <row r="4" spans="1:7" ht="15.75" thickBot="1">
      <c r="A4" s="226" t="s">
        <v>488</v>
      </c>
      <c r="B4" s="337" t="s">
        <v>453</v>
      </c>
    </row>
    <row r="5" spans="1:7">
      <c r="A5" s="338"/>
      <c r="B5" s="339"/>
      <c r="C5" s="861" t="s">
        <v>454</v>
      </c>
      <c r="D5" s="861"/>
      <c r="E5" s="861"/>
      <c r="F5" s="861"/>
      <c r="G5" s="862" t="s">
        <v>455</v>
      </c>
    </row>
    <row r="6" spans="1:7">
      <c r="A6" s="340"/>
      <c r="B6" s="341"/>
      <c r="C6" s="342" t="s">
        <v>456</v>
      </c>
      <c r="D6" s="343" t="s">
        <v>457</v>
      </c>
      <c r="E6" s="343" t="s">
        <v>458</v>
      </c>
      <c r="F6" s="343" t="s">
        <v>459</v>
      </c>
      <c r="G6" s="863"/>
    </row>
    <row r="7" spans="1:7">
      <c r="A7" s="344"/>
      <c r="B7" s="345" t="s">
        <v>460</v>
      </c>
      <c r="C7" s="346"/>
      <c r="D7" s="346"/>
      <c r="E7" s="346"/>
      <c r="F7" s="346"/>
      <c r="G7" s="347"/>
    </row>
    <row r="8" spans="1:7">
      <c r="A8" s="348">
        <v>1</v>
      </c>
      <c r="B8" s="349" t="s">
        <v>461</v>
      </c>
      <c r="C8" s="780">
        <v>283625135.38426292</v>
      </c>
      <c r="D8" s="780">
        <v>0</v>
      </c>
      <c r="E8" s="780">
        <v>0</v>
      </c>
      <c r="F8" s="780">
        <v>118830816</v>
      </c>
      <c r="G8" s="781">
        <v>402455951.38426292</v>
      </c>
    </row>
    <row r="9" spans="1:7">
      <c r="A9" s="348">
        <v>2</v>
      </c>
      <c r="B9" s="352" t="s">
        <v>85</v>
      </c>
      <c r="C9" s="780">
        <v>283625135.38426292</v>
      </c>
      <c r="D9" s="780"/>
      <c r="E9" s="780"/>
      <c r="F9" s="780">
        <v>55689057.600000001</v>
      </c>
      <c r="G9" s="781">
        <v>339314192.98426294</v>
      </c>
    </row>
    <row r="10" spans="1:7">
      <c r="A10" s="348">
        <v>3</v>
      </c>
      <c r="B10" s="352" t="s">
        <v>462</v>
      </c>
      <c r="C10" s="353"/>
      <c r="D10" s="353"/>
      <c r="E10" s="353"/>
      <c r="F10" s="780">
        <v>63141758.400000006</v>
      </c>
      <c r="G10" s="781">
        <v>63141758.400000006</v>
      </c>
    </row>
    <row r="11" spans="1:7" ht="26.25">
      <c r="A11" s="348">
        <v>4</v>
      </c>
      <c r="B11" s="349" t="s">
        <v>463</v>
      </c>
      <c r="C11" s="780">
        <v>3381490.7299999995</v>
      </c>
      <c r="D11" s="780">
        <v>274342.39</v>
      </c>
      <c r="E11" s="350">
        <v>0</v>
      </c>
      <c r="F11" s="780">
        <v>0</v>
      </c>
      <c r="G11" s="781">
        <v>3472986.7664999994</v>
      </c>
    </row>
    <row r="12" spans="1:7">
      <c r="A12" s="348">
        <v>5</v>
      </c>
      <c r="B12" s="352" t="s">
        <v>464</v>
      </c>
      <c r="C12" s="780">
        <v>3381369.1799999997</v>
      </c>
      <c r="D12" s="782">
        <v>274342.39</v>
      </c>
      <c r="E12" s="350">
        <v>0</v>
      </c>
      <c r="F12" s="350">
        <v>0</v>
      </c>
      <c r="G12" s="781">
        <v>3472925.9914999995</v>
      </c>
    </row>
    <row r="13" spans="1:7">
      <c r="A13" s="348">
        <v>6</v>
      </c>
      <c r="B13" s="352" t="s">
        <v>465</v>
      </c>
      <c r="C13" s="780">
        <v>121.55</v>
      </c>
      <c r="D13" s="782">
        <v>0</v>
      </c>
      <c r="E13" s="780">
        <v>0</v>
      </c>
      <c r="F13" s="780">
        <v>0</v>
      </c>
      <c r="G13" s="781">
        <v>60.774999999999999</v>
      </c>
    </row>
    <row r="14" spans="1:7">
      <c r="A14" s="348">
        <v>7</v>
      </c>
      <c r="B14" s="349" t="s">
        <v>466</v>
      </c>
      <c r="C14" s="780">
        <v>9188574.3155999947</v>
      </c>
      <c r="D14" s="780">
        <v>21360.28</v>
      </c>
      <c r="E14" s="780">
        <v>53505.323700000001</v>
      </c>
      <c r="F14" s="780">
        <v>0</v>
      </c>
      <c r="G14" s="781">
        <v>4441741.2249999978</v>
      </c>
    </row>
    <row r="15" spans="1:7" ht="51.75">
      <c r="A15" s="348">
        <v>8</v>
      </c>
      <c r="B15" s="352" t="s">
        <v>467</v>
      </c>
      <c r="C15" s="780">
        <v>8853330.4599999953</v>
      </c>
      <c r="D15" s="782">
        <v>21360.28</v>
      </c>
      <c r="E15" s="780">
        <v>8791.7099999999991</v>
      </c>
      <c r="F15" s="780">
        <v>0</v>
      </c>
      <c r="G15" s="781">
        <v>4441741.2249999978</v>
      </c>
    </row>
    <row r="16" spans="1:7" ht="26.25">
      <c r="A16" s="348">
        <v>9</v>
      </c>
      <c r="B16" s="352" t="s">
        <v>468</v>
      </c>
      <c r="C16" s="780">
        <v>335243.85559999995</v>
      </c>
      <c r="D16" s="782">
        <v>0</v>
      </c>
      <c r="E16" s="780">
        <v>44713.613700000002</v>
      </c>
      <c r="F16" s="780">
        <v>0</v>
      </c>
      <c r="G16" s="781">
        <v>0</v>
      </c>
    </row>
    <row r="17" spans="1:7">
      <c r="A17" s="348">
        <v>10</v>
      </c>
      <c r="B17" s="349" t="s">
        <v>469</v>
      </c>
      <c r="C17" s="350"/>
      <c r="D17" s="354"/>
      <c r="E17" s="350"/>
      <c r="F17" s="350"/>
      <c r="G17" s="351">
        <v>0</v>
      </c>
    </row>
    <row r="18" spans="1:7">
      <c r="A18" s="348">
        <v>11</v>
      </c>
      <c r="B18" s="349" t="s">
        <v>89</v>
      </c>
      <c r="C18" s="780">
        <v>17943540.731899999</v>
      </c>
      <c r="D18" s="782">
        <v>2017183.3965</v>
      </c>
      <c r="E18" s="780">
        <v>1026779.5314</v>
      </c>
      <c r="F18" s="780">
        <v>419.37919999999997</v>
      </c>
      <c r="G18" s="351">
        <v>0</v>
      </c>
    </row>
    <row r="19" spans="1:7">
      <c r="A19" s="348">
        <v>12</v>
      </c>
      <c r="B19" s="352" t="s">
        <v>470</v>
      </c>
      <c r="C19" s="353"/>
      <c r="D19" s="354">
        <v>0</v>
      </c>
      <c r="E19" s="350">
        <v>0</v>
      </c>
      <c r="F19" s="350">
        <v>0</v>
      </c>
      <c r="G19" s="351">
        <v>0</v>
      </c>
    </row>
    <row r="20" spans="1:7" ht="26.25">
      <c r="A20" s="348">
        <v>13</v>
      </c>
      <c r="B20" s="352" t="s">
        <v>471</v>
      </c>
      <c r="C20" s="780">
        <v>17943540.731899999</v>
      </c>
      <c r="D20" s="780">
        <v>2017183.3965</v>
      </c>
      <c r="E20" s="780">
        <v>1026779.5314</v>
      </c>
      <c r="F20" s="780">
        <v>419.37919999999997</v>
      </c>
      <c r="G20" s="351">
        <v>0</v>
      </c>
    </row>
    <row r="21" spans="1:7">
      <c r="A21" s="355">
        <v>14</v>
      </c>
      <c r="B21" s="356" t="s">
        <v>472</v>
      </c>
      <c r="C21" s="353"/>
      <c r="D21" s="353"/>
      <c r="E21" s="353"/>
      <c r="F21" s="353"/>
      <c r="G21" s="357">
        <v>410370679.37576294</v>
      </c>
    </row>
    <row r="22" spans="1:7">
      <c r="A22" s="358"/>
      <c r="B22" s="374" t="s">
        <v>473</v>
      </c>
      <c r="C22" s="359"/>
      <c r="D22" s="360"/>
      <c r="E22" s="359"/>
      <c r="F22" s="359"/>
      <c r="G22" s="361"/>
    </row>
    <row r="23" spans="1:7">
      <c r="A23" s="348">
        <v>15</v>
      </c>
      <c r="B23" s="349" t="s">
        <v>322</v>
      </c>
      <c r="C23" s="780">
        <v>175788701.29390001</v>
      </c>
      <c r="D23" s="782">
        <v>0</v>
      </c>
      <c r="E23" s="780">
        <v>0</v>
      </c>
      <c r="F23" s="780">
        <v>0</v>
      </c>
      <c r="G23" s="351">
        <v>0</v>
      </c>
    </row>
    <row r="24" spans="1:7">
      <c r="A24" s="348">
        <v>16</v>
      </c>
      <c r="B24" s="349" t="s">
        <v>474</v>
      </c>
      <c r="C24" s="780">
        <v>0</v>
      </c>
      <c r="D24" s="782">
        <v>14959800.914920997</v>
      </c>
      <c r="E24" s="780">
        <v>10686177.452863993</v>
      </c>
      <c r="F24" s="780">
        <v>39301430.646528982</v>
      </c>
      <c r="G24" s="351">
        <v>45464079.355799071</v>
      </c>
    </row>
    <row r="25" spans="1:7" ht="26.25">
      <c r="A25" s="348">
        <v>17</v>
      </c>
      <c r="B25" s="352" t="s">
        <v>475</v>
      </c>
      <c r="C25" s="350">
        <v>0</v>
      </c>
      <c r="D25" s="354">
        <v>0</v>
      </c>
      <c r="E25" s="350">
        <v>0</v>
      </c>
      <c r="F25" s="350">
        <v>0</v>
      </c>
      <c r="G25" s="351">
        <v>0</v>
      </c>
    </row>
    <row r="26" spans="1:7" ht="39">
      <c r="A26" s="348">
        <v>18</v>
      </c>
      <c r="B26" s="352" t="s">
        <v>476</v>
      </c>
      <c r="C26" s="780">
        <v>0</v>
      </c>
      <c r="D26" s="782">
        <v>0</v>
      </c>
      <c r="E26" s="780">
        <v>117749.7219</v>
      </c>
      <c r="F26" s="780">
        <v>334083.195542</v>
      </c>
      <c r="G26" s="781">
        <v>392958.056492</v>
      </c>
    </row>
    <row r="27" spans="1:7">
      <c r="A27" s="348">
        <v>19</v>
      </c>
      <c r="B27" s="352" t="s">
        <v>477</v>
      </c>
      <c r="C27" s="780">
        <v>0</v>
      </c>
      <c r="D27" s="782">
        <v>14773225.796847997</v>
      </c>
      <c r="E27" s="780">
        <v>10371318.339035993</v>
      </c>
      <c r="F27" s="780">
        <v>34891155.666114978</v>
      </c>
      <c r="G27" s="781">
        <v>42229754.384139776</v>
      </c>
    </row>
    <row r="28" spans="1:7">
      <c r="A28" s="348">
        <v>20</v>
      </c>
      <c r="B28" s="363" t="s">
        <v>478</v>
      </c>
      <c r="C28" s="780">
        <v>0</v>
      </c>
      <c r="D28" s="782">
        <v>0</v>
      </c>
      <c r="E28" s="780">
        <v>0</v>
      </c>
      <c r="F28" s="780">
        <v>0</v>
      </c>
      <c r="G28" s="781">
        <v>0</v>
      </c>
    </row>
    <row r="29" spans="1:7">
      <c r="A29" s="348">
        <v>21</v>
      </c>
      <c r="B29" s="352" t="s">
        <v>479</v>
      </c>
      <c r="C29" s="780">
        <v>0</v>
      </c>
      <c r="D29" s="782">
        <v>186575.11807299996</v>
      </c>
      <c r="E29" s="780">
        <v>197109.391928</v>
      </c>
      <c r="F29" s="780">
        <v>4076191.7848719996</v>
      </c>
      <c r="G29" s="781">
        <v>2841366.9151672972</v>
      </c>
    </row>
    <row r="30" spans="1:7">
      <c r="A30" s="348">
        <v>22</v>
      </c>
      <c r="B30" s="363" t="s">
        <v>478</v>
      </c>
      <c r="C30" s="780">
        <v>0</v>
      </c>
      <c r="D30" s="782">
        <v>186575.11807299996</v>
      </c>
      <c r="E30" s="780">
        <v>197109.391928</v>
      </c>
      <c r="F30" s="780">
        <v>4076191.7848719996</v>
      </c>
      <c r="G30" s="781">
        <v>2841366.9151672972</v>
      </c>
    </row>
    <row r="31" spans="1:7" ht="26.25">
      <c r="A31" s="348">
        <v>23</v>
      </c>
      <c r="B31" s="352" t="s">
        <v>480</v>
      </c>
      <c r="C31" s="780">
        <v>0</v>
      </c>
      <c r="D31" s="782">
        <v>0</v>
      </c>
      <c r="E31" s="780">
        <v>0</v>
      </c>
      <c r="F31" s="780">
        <v>0</v>
      </c>
      <c r="G31" s="781">
        <v>0</v>
      </c>
    </row>
    <row r="32" spans="1:7">
      <c r="A32" s="348">
        <v>24</v>
      </c>
      <c r="B32" s="349" t="s">
        <v>481</v>
      </c>
      <c r="C32" s="780">
        <v>0</v>
      </c>
      <c r="D32" s="782">
        <v>0</v>
      </c>
      <c r="E32" s="780">
        <v>0</v>
      </c>
      <c r="F32" s="780">
        <v>0</v>
      </c>
      <c r="G32" s="781">
        <v>0</v>
      </c>
    </row>
    <row r="33" spans="1:7">
      <c r="A33" s="348">
        <v>25</v>
      </c>
      <c r="B33" s="349" t="s">
        <v>99</v>
      </c>
      <c r="C33" s="780">
        <v>201609818.63199997</v>
      </c>
      <c r="D33" s="780">
        <v>550.81727599999999</v>
      </c>
      <c r="E33" s="780">
        <v>5882622.3387309993</v>
      </c>
      <c r="F33" s="780">
        <v>314.77322500000002</v>
      </c>
      <c r="G33" s="351">
        <v>204551719.98322847</v>
      </c>
    </row>
    <row r="34" spans="1:7">
      <c r="A34" s="348">
        <v>26</v>
      </c>
      <c r="B34" s="352" t="s">
        <v>482</v>
      </c>
      <c r="C34" s="353"/>
      <c r="D34" s="354">
        <v>0</v>
      </c>
      <c r="E34" s="350">
        <v>0</v>
      </c>
      <c r="F34" s="350">
        <v>0</v>
      </c>
      <c r="G34" s="351">
        <v>0</v>
      </c>
    </row>
    <row r="35" spans="1:7">
      <c r="A35" s="348">
        <v>27</v>
      </c>
      <c r="B35" s="352" t="s">
        <v>483</v>
      </c>
      <c r="C35" s="780">
        <v>201609818.63199997</v>
      </c>
      <c r="D35" s="782">
        <v>550.81727599999999</v>
      </c>
      <c r="E35" s="780">
        <v>5882622.3387309993</v>
      </c>
      <c r="F35" s="780">
        <v>314.77322500000002</v>
      </c>
      <c r="G35" s="781">
        <v>204551719.98322847</v>
      </c>
    </row>
    <row r="36" spans="1:7">
      <c r="A36" s="348">
        <v>28</v>
      </c>
      <c r="B36" s="349" t="s">
        <v>484</v>
      </c>
      <c r="C36" s="780">
        <v>0</v>
      </c>
      <c r="D36" s="782">
        <v>16018.8758</v>
      </c>
      <c r="E36" s="780">
        <v>0</v>
      </c>
      <c r="F36" s="780">
        <v>200000</v>
      </c>
      <c r="G36" s="781">
        <v>31601.887579999999</v>
      </c>
    </row>
    <row r="37" spans="1:7">
      <c r="A37" s="355">
        <v>29</v>
      </c>
      <c r="B37" s="356" t="s">
        <v>485</v>
      </c>
      <c r="C37" s="353"/>
      <c r="D37" s="353"/>
      <c r="E37" s="353"/>
      <c r="F37" s="353"/>
      <c r="G37" s="357">
        <v>250047401.22660756</v>
      </c>
    </row>
    <row r="38" spans="1:7">
      <c r="A38" s="344"/>
      <c r="B38" s="364"/>
      <c r="C38" s="365"/>
      <c r="D38" s="365"/>
      <c r="E38" s="365"/>
      <c r="F38" s="365"/>
      <c r="G38" s="366"/>
    </row>
    <row r="39" spans="1:7" ht="15.75" thickBot="1">
      <c r="A39" s="367">
        <v>30</v>
      </c>
      <c r="B39" s="368" t="s">
        <v>453</v>
      </c>
      <c r="C39" s="235"/>
      <c r="D39" s="217"/>
      <c r="E39" s="217"/>
      <c r="F39" s="369"/>
      <c r="G39" s="370">
        <f>IFERROR(G21/G37,0)</f>
        <v>1.6411715433261433</v>
      </c>
    </row>
    <row r="42" spans="1:7" ht="39">
      <c r="B42" s="23" t="s">
        <v>486</v>
      </c>
    </row>
  </sheetData>
  <mergeCells count="2">
    <mergeCell ref="C5:F5"/>
    <mergeCell ref="G5: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71"/>
  <sheetViews>
    <sheetView zoomScale="85" zoomScaleNormal="85" workbookViewId="0">
      <pane xSplit="1" ySplit="5" topLeftCell="B18" activePane="bottomRight" state="frozen"/>
      <selection pane="topRight" activeCell="B1" sqref="B1"/>
      <selection pane="bottomLeft" activeCell="A6" sqref="A6"/>
      <selection pane="bottomRight" activeCell="B6" sqref="B6"/>
    </sheetView>
  </sheetViews>
  <sheetFormatPr defaultRowHeight="15.75"/>
  <cols>
    <col min="1" max="1" width="9.5703125" style="19" bestFit="1" customWidth="1"/>
    <col min="2" max="2" width="88.28515625" style="16" customWidth="1"/>
    <col min="3" max="3" width="12.7109375" style="16" customWidth="1"/>
    <col min="4" max="7" width="12.7109375" style="2" customWidth="1"/>
    <col min="8" max="8" width="6.7109375" customWidth="1"/>
    <col min="9" max="10" width="12.28515625" hidden="1" customWidth="1"/>
    <col min="11" max="11" width="6.7109375" customWidth="1"/>
  </cols>
  <sheetData>
    <row r="1" spans="1:11">
      <c r="A1" s="17" t="s">
        <v>108</v>
      </c>
      <c r="B1" s="305" t="str">
        <f>Info!C2</f>
        <v>JSC "VTB Bank (Georgia)"</v>
      </c>
    </row>
    <row r="2" spans="1:11">
      <c r="A2" s="17" t="s">
        <v>109</v>
      </c>
      <c r="B2" s="742">
        <f>Info!D2</f>
        <v>45747</v>
      </c>
      <c r="C2" s="29"/>
      <c r="D2" s="18"/>
      <c r="E2" s="18"/>
      <c r="F2" s="18"/>
      <c r="G2" s="18"/>
      <c r="H2" s="1"/>
    </row>
    <row r="3" spans="1:11" ht="16.5" thickBot="1">
      <c r="A3" s="17"/>
      <c r="C3" s="29"/>
      <c r="D3" s="18"/>
      <c r="E3" s="18"/>
      <c r="F3" s="18"/>
      <c r="G3" s="18"/>
      <c r="H3" s="1"/>
    </row>
    <row r="4" spans="1:11" ht="69" customHeight="1" thickBot="1">
      <c r="A4" s="39" t="s">
        <v>252</v>
      </c>
      <c r="B4" s="150" t="s">
        <v>139</v>
      </c>
      <c r="C4" s="151"/>
      <c r="D4" s="805" t="s">
        <v>936</v>
      </c>
      <c r="E4" s="806"/>
      <c r="F4" s="806"/>
      <c r="G4" s="807"/>
      <c r="H4" s="1"/>
      <c r="J4" s="783"/>
      <c r="K4" s="454"/>
    </row>
    <row r="5" spans="1:11" ht="15">
      <c r="A5" s="204" t="s">
        <v>25</v>
      </c>
      <c r="B5" s="205"/>
      <c r="C5" s="326" t="str">
        <f>INT((MONTH($B$2))/3)&amp;"Q"&amp;"-"&amp;YEAR($B$2)</f>
        <v>1Q-2025</v>
      </c>
      <c r="D5" s="326" t="str">
        <f>IF(INT(MONTH($B$2))=3, "4"&amp;"Q"&amp;"-"&amp;YEAR($B$2)-1, IF(INT(MONTH($B$2))=6, "1"&amp;"Q"&amp;"-"&amp;YEAR($B$2), IF(INT(MONTH($B$2))=9, "2"&amp;"Q"&amp;"-"&amp;YEAR($B$2),IF(INT(MONTH($B$2))=12, "3"&amp;"Q"&amp;"-"&amp;YEAR($B$2), 0))))</f>
        <v>4Q-2024</v>
      </c>
      <c r="E5" s="326" t="str">
        <f>IF(INT(MONTH($B$2))=3, "3"&amp;"Q"&amp;"-"&amp;YEAR($B$2)-1, IF(INT(MONTH($B$2))=6, "4"&amp;"Q"&amp;"-"&amp;YEAR($B$2)-1, IF(INT(MONTH($B$2))=9, "1"&amp;"Q"&amp;"-"&amp;YEAR($B$2),IF(INT(MONTH($B$2))=12, "2"&amp;"Q"&amp;"-"&amp;YEAR($B$2), 0))))</f>
        <v>3Q-2024</v>
      </c>
      <c r="F5" s="326" t="str">
        <f>IF(INT(MONTH($B$2))=3, "2"&amp;"Q"&amp;"-"&amp;YEAR($B$2)-1, IF(INT(MONTH($B$2))=6, "3"&amp;"Q"&amp;"-"&amp;YEAR($B$2)-1, IF(INT(MONTH($B$2))=9, "4"&amp;"Q"&amp;"-"&amp;YEAR($B$2)-1,IF(INT(MONTH($B$2))=12, "1"&amp;"Q"&amp;"-"&amp;YEAR($B$2), 0))))</f>
        <v>2Q-2024</v>
      </c>
      <c r="G5" s="327" t="str">
        <f>IF(INT(MONTH($B$2))=3, "1"&amp;"Q"&amp;"-"&amp;YEAR($B$2)-1, IF(INT(MONTH($B$2))=6, "2"&amp;"Q"&amp;"-"&amp;YEAR($B$2)-1, IF(INT(MONTH($B$2))=9, "3"&amp;"Q"&amp;"-"&amp;YEAR($B$2)-1,IF(INT(MONTH($B$2))=12, "4"&amp;"Q"&amp;"-"&amp;YEAR($B$2)-1, 0))))</f>
        <v>1Q-2024</v>
      </c>
      <c r="I5" s="614" t="str">
        <f>D5</f>
        <v>4Q-2024</v>
      </c>
      <c r="J5" s="326" t="str">
        <f t="shared" ref="J5" si="0">E5</f>
        <v>3Q-2024</v>
      </c>
    </row>
    <row r="6" spans="1:11" ht="15">
      <c r="A6" s="328"/>
      <c r="B6" s="329" t="s">
        <v>106</v>
      </c>
      <c r="C6" s="800"/>
      <c r="D6" s="800"/>
      <c r="E6" s="800"/>
      <c r="F6" s="800"/>
      <c r="G6" s="801"/>
      <c r="I6" s="615"/>
      <c r="J6" s="206"/>
    </row>
    <row r="7" spans="1:11" ht="15">
      <c r="A7" s="328"/>
      <c r="B7" s="330" t="s">
        <v>110</v>
      </c>
      <c r="C7" s="800"/>
      <c r="D7" s="800"/>
      <c r="E7" s="800"/>
      <c r="F7" s="800"/>
      <c r="G7" s="801"/>
      <c r="I7" s="615"/>
      <c r="J7" s="206"/>
    </row>
    <row r="8" spans="1:11" ht="15">
      <c r="A8" s="310">
        <v>1</v>
      </c>
      <c r="B8" s="311" t="s">
        <v>22</v>
      </c>
      <c r="C8" s="687">
        <v>227571035.38426289</v>
      </c>
      <c r="D8" s="687">
        <v>273905730.98415458</v>
      </c>
      <c r="E8" s="687">
        <v>261844574.34</v>
      </c>
      <c r="F8" s="687">
        <v>247437189.92262694</v>
      </c>
      <c r="G8" s="687">
        <v>263088107.66896904</v>
      </c>
      <c r="H8" s="678"/>
      <c r="I8" s="687"/>
      <c r="J8" s="687"/>
    </row>
    <row r="9" spans="1:11" ht="15">
      <c r="A9" s="310">
        <v>2</v>
      </c>
      <c r="B9" s="311" t="s">
        <v>86</v>
      </c>
      <c r="C9" s="687">
        <v>283625135.38426292</v>
      </c>
      <c r="D9" s="687">
        <v>317094230.98415458</v>
      </c>
      <c r="E9" s="687">
        <v>311822874.34000003</v>
      </c>
      <c r="F9" s="687">
        <v>303591589.92262697</v>
      </c>
      <c r="G9" s="687">
        <v>312576807.66896904</v>
      </c>
      <c r="H9" s="678"/>
      <c r="I9" s="687"/>
      <c r="J9" s="687"/>
    </row>
    <row r="10" spans="1:11" ht="15">
      <c r="A10" s="310">
        <v>3</v>
      </c>
      <c r="B10" s="311" t="s">
        <v>85</v>
      </c>
      <c r="C10" s="687">
        <v>339314192.98426294</v>
      </c>
      <c r="D10" s="687">
        <v>359173851.78691459</v>
      </c>
      <c r="E10" s="687">
        <v>372799961.66676003</v>
      </c>
      <c r="F10" s="687">
        <v>377369223.82524699</v>
      </c>
      <c r="G10" s="687">
        <v>376237383.32272905</v>
      </c>
      <c r="H10" s="678"/>
      <c r="I10" s="687"/>
      <c r="J10" s="687"/>
    </row>
    <row r="11" spans="1:11" ht="15">
      <c r="A11" s="310">
        <v>4</v>
      </c>
      <c r="B11" s="311" t="s">
        <v>445</v>
      </c>
      <c r="C11" s="687">
        <v>120682713.26498392</v>
      </c>
      <c r="D11" s="687">
        <v>123009203.22464246</v>
      </c>
      <c r="E11" s="687">
        <v>126379579.22092749</v>
      </c>
      <c r="F11" s="687">
        <v>127023445.01725176</v>
      </c>
      <c r="G11" s="687">
        <v>123740282.60855596</v>
      </c>
      <c r="H11" s="678"/>
      <c r="I11" s="687"/>
      <c r="J11" s="687"/>
    </row>
    <row r="12" spans="1:11" ht="15">
      <c r="A12" s="310">
        <v>5</v>
      </c>
      <c r="B12" s="311" t="s">
        <v>446</v>
      </c>
      <c r="C12" s="687">
        <v>136469631.6243096</v>
      </c>
      <c r="D12" s="687">
        <v>139125474.54113606</v>
      </c>
      <c r="E12" s="687">
        <v>143758813.82397807</v>
      </c>
      <c r="F12" s="687">
        <v>144772864.26428571</v>
      </c>
      <c r="G12" s="687">
        <v>141011028.44011056</v>
      </c>
      <c r="H12" s="678"/>
      <c r="I12" s="687"/>
      <c r="J12" s="687"/>
    </row>
    <row r="13" spans="1:11" ht="15">
      <c r="A13" s="310">
        <v>6</v>
      </c>
      <c r="B13" s="311" t="s">
        <v>447</v>
      </c>
      <c r="C13" s="687">
        <v>157381095.71818882</v>
      </c>
      <c r="D13" s="687">
        <v>160472755.19855791</v>
      </c>
      <c r="E13" s="687">
        <v>166780075.28750151</v>
      </c>
      <c r="F13" s="687">
        <v>168284008.10138208</v>
      </c>
      <c r="G13" s="687">
        <v>163888693.74453959</v>
      </c>
      <c r="H13" s="678"/>
      <c r="I13" s="687"/>
      <c r="J13" s="687"/>
    </row>
    <row r="14" spans="1:11" ht="15">
      <c r="A14" s="328"/>
      <c r="B14" s="329" t="s">
        <v>449</v>
      </c>
      <c r="C14" s="681"/>
      <c r="D14" s="681"/>
      <c r="E14" s="681"/>
      <c r="F14" s="681"/>
      <c r="G14" s="681"/>
      <c r="H14" s="678"/>
      <c r="I14" s="681"/>
      <c r="J14" s="681"/>
    </row>
    <row r="15" spans="1:11" ht="22.35" customHeight="1">
      <c r="A15" s="310">
        <v>7</v>
      </c>
      <c r="B15" s="311" t="s">
        <v>448</v>
      </c>
      <c r="C15" s="688">
        <v>528971760.11256492</v>
      </c>
      <c r="D15" s="688">
        <v>538309915.73493481</v>
      </c>
      <c r="E15" s="688">
        <v>584620546.1363045</v>
      </c>
      <c r="F15" s="688">
        <v>595250345.79651475</v>
      </c>
      <c r="G15" s="688">
        <v>581398999.05699706</v>
      </c>
      <c r="H15" s="678"/>
      <c r="I15" s="688"/>
      <c r="J15" s="688"/>
    </row>
    <row r="16" spans="1:11" ht="15">
      <c r="A16" s="328"/>
      <c r="B16" s="329" t="s">
        <v>452</v>
      </c>
      <c r="C16" s="681"/>
      <c r="D16" s="681"/>
      <c r="E16" s="681"/>
      <c r="F16" s="681"/>
      <c r="G16" s="681"/>
      <c r="H16" s="678"/>
      <c r="I16" s="681"/>
      <c r="J16" s="681"/>
    </row>
    <row r="17" spans="1:10" s="3" customFormat="1" ht="15">
      <c r="A17" s="310"/>
      <c r="B17" s="330" t="s">
        <v>435</v>
      </c>
      <c r="C17" s="681"/>
      <c r="D17" s="681"/>
      <c r="E17" s="681"/>
      <c r="F17" s="681"/>
      <c r="G17" s="681"/>
      <c r="H17" s="679"/>
      <c r="I17" s="681"/>
      <c r="J17" s="681"/>
    </row>
    <row r="18" spans="1:10" ht="15">
      <c r="A18" s="309">
        <v>8</v>
      </c>
      <c r="B18" s="331" t="s">
        <v>443</v>
      </c>
      <c r="C18" s="689">
        <v>0.43021395950482477</v>
      </c>
      <c r="D18" s="689">
        <v>0.50882534944614777</v>
      </c>
      <c r="E18" s="689">
        <v>0.48641974945327393</v>
      </c>
      <c r="F18" s="689">
        <v>0.45965564201954184</v>
      </c>
      <c r="G18" s="689">
        <v>0.45250870416991784</v>
      </c>
      <c r="H18" s="678"/>
      <c r="I18" s="689"/>
      <c r="J18" s="689"/>
    </row>
    <row r="19" spans="1:10" ht="15" customHeight="1">
      <c r="A19" s="309">
        <v>9</v>
      </c>
      <c r="B19" s="331" t="s">
        <v>442</v>
      </c>
      <c r="C19" s="689">
        <v>0.53618199830536817</v>
      </c>
      <c r="D19" s="689">
        <v>0.58905515524683849</v>
      </c>
      <c r="E19" s="689">
        <v>0.57926273550855867</v>
      </c>
      <c r="F19" s="689">
        <v>0.56397175873705485</v>
      </c>
      <c r="G19" s="689">
        <v>0.53762873375419373</v>
      </c>
      <c r="H19" s="678"/>
      <c r="I19" s="689"/>
      <c r="J19" s="689"/>
    </row>
    <row r="20" spans="1:10" ht="15">
      <c r="A20" s="309">
        <v>10</v>
      </c>
      <c r="B20" s="331" t="s">
        <v>444</v>
      </c>
      <c r="C20" s="689">
        <v>0.64145993901840248</v>
      </c>
      <c r="D20" s="689">
        <v>0.66722503392222987</v>
      </c>
      <c r="E20" s="689">
        <v>0.69253779425145812</v>
      </c>
      <c r="F20" s="689">
        <v>0.7010259569713454</v>
      </c>
      <c r="G20" s="689">
        <v>0.64712423642450212</v>
      </c>
      <c r="H20" s="678"/>
      <c r="I20" s="689"/>
      <c r="J20" s="689"/>
    </row>
    <row r="21" spans="1:10" ht="15">
      <c r="A21" s="309">
        <v>11</v>
      </c>
      <c r="B21" s="311" t="s">
        <v>445</v>
      </c>
      <c r="C21" s="689">
        <v>0.22814585269977872</v>
      </c>
      <c r="D21" s="689">
        <v>0.22851000813667438</v>
      </c>
      <c r="E21" s="689">
        <v>0.23477104085735831</v>
      </c>
      <c r="F21" s="689">
        <v>0.23596712842235371</v>
      </c>
      <c r="G21" s="689">
        <v>0.21283194984727719</v>
      </c>
      <c r="H21" s="678"/>
      <c r="I21" s="689"/>
      <c r="J21" s="689"/>
    </row>
    <row r="22" spans="1:10" ht="15">
      <c r="A22" s="309">
        <v>12</v>
      </c>
      <c r="B22" s="311" t="s">
        <v>446</v>
      </c>
      <c r="C22" s="689">
        <v>0.25799039176546767</v>
      </c>
      <c r="D22" s="689">
        <v>0.25844865657210336</v>
      </c>
      <c r="E22" s="689">
        <v>0.26705585318395897</v>
      </c>
      <c r="F22" s="689">
        <v>0.26893962015660183</v>
      </c>
      <c r="G22" s="689">
        <v>0.24253744617521544</v>
      </c>
      <c r="H22" s="678"/>
      <c r="I22" s="689"/>
      <c r="J22" s="689"/>
    </row>
    <row r="23" spans="1:10" ht="15">
      <c r="A23" s="309">
        <v>13</v>
      </c>
      <c r="B23" s="311" t="s">
        <v>447</v>
      </c>
      <c r="C23" s="689">
        <v>0.29752268000979526</v>
      </c>
      <c r="D23" s="689">
        <v>0.29810477293450993</v>
      </c>
      <c r="E23" s="689">
        <v>0.30982166668767896</v>
      </c>
      <c r="F23" s="689">
        <v>0.31261547146429597</v>
      </c>
      <c r="G23" s="689">
        <v>0.28188678344881857</v>
      </c>
      <c r="H23" s="678"/>
      <c r="I23" s="689"/>
      <c r="J23" s="689"/>
    </row>
    <row r="24" spans="1:10" ht="15">
      <c r="A24" s="328"/>
      <c r="B24" s="329" t="s">
        <v>6</v>
      </c>
      <c r="C24" s="683"/>
      <c r="D24" s="683"/>
      <c r="E24" s="683"/>
      <c r="F24" s="683"/>
      <c r="G24" s="683"/>
      <c r="H24" s="678"/>
      <c r="I24" s="683"/>
      <c r="J24" s="683"/>
    </row>
    <row r="25" spans="1:10" ht="15" customHeight="1">
      <c r="A25" s="332">
        <v>14</v>
      </c>
      <c r="B25" s="333" t="s">
        <v>7</v>
      </c>
      <c r="C25" s="690">
        <v>3.1603000078961226E-2</v>
      </c>
      <c r="D25" s="690">
        <v>3.6875423555608293E-2</v>
      </c>
      <c r="E25" s="690">
        <v>3.7653832321756439E-2</v>
      </c>
      <c r="F25" s="690">
        <v>3.8195373702473369E-2</v>
      </c>
      <c r="G25" s="690">
        <v>3.8681533096585681E-2</v>
      </c>
      <c r="H25" s="678"/>
      <c r="I25" s="690"/>
      <c r="J25" s="690"/>
    </row>
    <row r="26" spans="1:10" ht="15">
      <c r="A26" s="332">
        <v>15</v>
      </c>
      <c r="B26" s="333" t="s">
        <v>8</v>
      </c>
      <c r="C26" s="690">
        <v>2.1355678673267414E-2</v>
      </c>
      <c r="D26" s="690">
        <v>2.0305401662221289E-2</v>
      </c>
      <c r="E26" s="690">
        <v>2.0960224051435192E-2</v>
      </c>
      <c r="F26" s="690">
        <v>2.0980598725081227E-2</v>
      </c>
      <c r="G26" s="690">
        <v>2.0416417135360448E-2</v>
      </c>
      <c r="H26" s="678"/>
      <c r="I26" s="690"/>
      <c r="J26" s="690"/>
    </row>
    <row r="27" spans="1:10" ht="15">
      <c r="A27" s="332">
        <v>16</v>
      </c>
      <c r="B27" s="333" t="s">
        <v>9</v>
      </c>
      <c r="C27" s="690">
        <v>0.27609330896165413</v>
      </c>
      <c r="D27" s="690">
        <v>-3.8225641395707333E-2</v>
      </c>
      <c r="E27" s="690">
        <v>-5.0625280536869509E-3</v>
      </c>
      <c r="F27" s="690">
        <v>3.1498846802302825E-2</v>
      </c>
      <c r="G27" s="690">
        <v>3.5689587091770314E-3</v>
      </c>
      <c r="H27" s="678"/>
      <c r="I27" s="690"/>
      <c r="J27" s="690"/>
    </row>
    <row r="28" spans="1:10" ht="15">
      <c r="A28" s="332">
        <v>17</v>
      </c>
      <c r="B28" s="333" t="s">
        <v>140</v>
      </c>
      <c r="C28" s="690">
        <v>1.0247321405693812E-2</v>
      </c>
      <c r="D28" s="690">
        <v>1.6570021893387004E-2</v>
      </c>
      <c r="E28" s="690">
        <v>1.6693608270321247E-2</v>
      </c>
      <c r="F28" s="690">
        <v>1.7214774977392145E-2</v>
      </c>
      <c r="G28" s="690">
        <v>1.8265115961225233E-2</v>
      </c>
      <c r="H28" s="678"/>
      <c r="I28" s="690"/>
      <c r="J28" s="690"/>
    </row>
    <row r="29" spans="1:10" ht="15">
      <c r="A29" s="332">
        <v>18</v>
      </c>
      <c r="B29" s="333" t="s">
        <v>10</v>
      </c>
      <c r="C29" s="690">
        <v>-0.29700827888298537</v>
      </c>
      <c r="D29" s="690">
        <v>2.0577830953774003E-2</v>
      </c>
      <c r="E29" s="690">
        <v>-1.2986292849792808E-3</v>
      </c>
      <c r="F29" s="690">
        <v>-3.7723320755885741E-2</v>
      </c>
      <c r="G29" s="690">
        <v>4.0758985961543851E-3</v>
      </c>
      <c r="H29" s="678"/>
      <c r="I29" s="690"/>
      <c r="J29" s="690"/>
    </row>
    <row r="30" spans="1:10" ht="15">
      <c r="A30" s="332">
        <v>19</v>
      </c>
      <c r="B30" s="333" t="s">
        <v>11</v>
      </c>
      <c r="C30" s="690">
        <v>-0.42989830915196048</v>
      </c>
      <c r="D30" s="690">
        <v>2.8894368932893936E-2</v>
      </c>
      <c r="E30" s="690">
        <v>-1.837508261185187E-3</v>
      </c>
      <c r="F30" s="690">
        <v>-5.3260346493588864E-2</v>
      </c>
      <c r="G30" s="690">
        <v>5.701782569374308E-3</v>
      </c>
      <c r="H30" s="678"/>
      <c r="I30" s="690"/>
      <c r="J30" s="690"/>
    </row>
    <row r="31" spans="1:10" ht="15">
      <c r="A31" s="328"/>
      <c r="B31" s="329" t="s">
        <v>12</v>
      </c>
      <c r="C31" s="683"/>
      <c r="D31" s="683"/>
      <c r="E31" s="683"/>
      <c r="F31" s="683"/>
      <c r="G31" s="683"/>
      <c r="H31" s="678"/>
      <c r="I31" s="683"/>
      <c r="J31" s="683"/>
    </row>
    <row r="32" spans="1:10" ht="15">
      <c r="A32" s="332">
        <v>20</v>
      </c>
      <c r="B32" s="333" t="s">
        <v>13</v>
      </c>
      <c r="C32" s="690">
        <v>0.11884958310125479</v>
      </c>
      <c r="D32" s="690">
        <v>0.59976146999008251</v>
      </c>
      <c r="E32" s="690">
        <v>0.57101272130798897</v>
      </c>
      <c r="F32" s="690">
        <v>0.4763152265256273</v>
      </c>
      <c r="G32" s="690">
        <v>0.27112451671875198</v>
      </c>
      <c r="H32" s="678"/>
      <c r="I32" s="690"/>
      <c r="J32" s="690"/>
    </row>
    <row r="33" spans="1:10" ht="15" customHeight="1">
      <c r="A33" s="332">
        <v>21</v>
      </c>
      <c r="B33" s="333" t="s">
        <v>957</v>
      </c>
      <c r="C33" s="690">
        <v>0.12100436158249414</v>
      </c>
      <c r="D33" s="690">
        <v>0.11935570888038549</v>
      </c>
      <c r="E33" s="690">
        <v>8.6704743945984736E-2</v>
      </c>
      <c r="F33" s="690">
        <v>7.7283199429053415E-2</v>
      </c>
      <c r="G33" s="690">
        <v>6.9796117162092372E-2</v>
      </c>
      <c r="H33" s="678"/>
      <c r="I33" s="690"/>
      <c r="J33" s="690"/>
    </row>
    <row r="34" spans="1:10" ht="15">
      <c r="A34" s="332">
        <v>22</v>
      </c>
      <c r="B34" s="333" t="s">
        <v>14</v>
      </c>
      <c r="C34" s="690">
        <v>0.6545354954850463</v>
      </c>
      <c r="D34" s="690">
        <v>0.6207562066979373</v>
      </c>
      <c r="E34" s="690">
        <v>0.61976173574193572</v>
      </c>
      <c r="F34" s="690">
        <v>0.60762270924449058</v>
      </c>
      <c r="G34" s="690">
        <v>0.59750860214073431</v>
      </c>
      <c r="H34" s="678"/>
      <c r="I34" s="690"/>
      <c r="J34" s="690"/>
    </row>
    <row r="35" spans="1:10" ht="15" customHeight="1">
      <c r="A35" s="332">
        <v>23</v>
      </c>
      <c r="B35" s="333" t="s">
        <v>15</v>
      </c>
      <c r="C35" s="690">
        <v>0.43692892270833783</v>
      </c>
      <c r="D35" s="690">
        <v>0.43992230030589075</v>
      </c>
      <c r="E35" s="690">
        <v>0.43253312969769658</v>
      </c>
      <c r="F35" s="690">
        <v>0.43284324486207082</v>
      </c>
      <c r="G35" s="690">
        <v>0.4180559286617066</v>
      </c>
      <c r="H35" s="678"/>
      <c r="I35" s="690"/>
      <c r="J35" s="690"/>
    </row>
    <row r="36" spans="1:10" ht="15">
      <c r="A36" s="332">
        <v>24</v>
      </c>
      <c r="B36" s="333" t="s">
        <v>16</v>
      </c>
      <c r="C36" s="690">
        <v>-4.3567704909753181E-2</v>
      </c>
      <c r="D36" s="690">
        <v>-7.3328480456393272E-2</v>
      </c>
      <c r="E36" s="690">
        <v>-6.168703645023333E-2</v>
      </c>
      <c r="F36" s="690">
        <v>4.4038192866709619E-3</v>
      </c>
      <c r="G36" s="690">
        <v>-1.6822288755374504E-2</v>
      </c>
      <c r="H36" s="678"/>
      <c r="I36" s="690"/>
      <c r="J36" s="690"/>
    </row>
    <row r="37" spans="1:10" ht="15" customHeight="1">
      <c r="A37" s="328"/>
      <c r="B37" s="329" t="s">
        <v>17</v>
      </c>
      <c r="C37" s="683"/>
      <c r="D37" s="683"/>
      <c r="E37" s="683"/>
      <c r="F37" s="683"/>
      <c r="G37" s="683"/>
      <c r="H37" s="678"/>
      <c r="I37" s="683"/>
      <c r="J37" s="683"/>
    </row>
    <row r="38" spans="1:10" ht="15" customHeight="1">
      <c r="A38" s="332">
        <v>25</v>
      </c>
      <c r="B38" s="333" t="s">
        <v>18</v>
      </c>
      <c r="C38" s="690">
        <v>0.36356398272366908</v>
      </c>
      <c r="D38" s="690">
        <v>0.36246380437126119</v>
      </c>
      <c r="E38" s="690">
        <v>0.34233655635928922</v>
      </c>
      <c r="F38" s="690">
        <v>0.3274314287271935</v>
      </c>
      <c r="G38" s="690">
        <v>0.32828755971221607</v>
      </c>
      <c r="H38" s="678"/>
      <c r="I38" s="690"/>
      <c r="J38" s="690"/>
    </row>
    <row r="39" spans="1:10" ht="15" customHeight="1">
      <c r="A39" s="332">
        <v>26</v>
      </c>
      <c r="B39" s="333" t="s">
        <v>19</v>
      </c>
      <c r="C39" s="690">
        <v>0.89363887458620117</v>
      </c>
      <c r="D39" s="690">
        <v>0.86791951088615282</v>
      </c>
      <c r="E39" s="690">
        <v>0.87100707822770651</v>
      </c>
      <c r="F39" s="690">
        <v>0.87738219486866365</v>
      </c>
      <c r="G39" s="690">
        <v>0.8603752423587433</v>
      </c>
      <c r="H39" s="678"/>
      <c r="I39" s="690"/>
      <c r="J39" s="690"/>
    </row>
    <row r="40" spans="1:10" ht="15" customHeight="1">
      <c r="A40" s="332">
        <v>27</v>
      </c>
      <c r="B40" s="334" t="s">
        <v>20</v>
      </c>
      <c r="C40" s="690">
        <v>2.7336584727608033E-2</v>
      </c>
      <c r="D40" s="690">
        <v>2.6561991023921795E-2</v>
      </c>
      <c r="E40" s="690">
        <v>2.8886941628156096E-2</v>
      </c>
      <c r="F40" s="690">
        <v>2.9487076829897204E-2</v>
      </c>
      <c r="G40" s="690">
        <v>3.007165084446951E-2</v>
      </c>
      <c r="H40" s="678"/>
      <c r="I40" s="690"/>
      <c r="J40" s="690"/>
    </row>
    <row r="41" spans="1:10" ht="15" customHeight="1">
      <c r="A41" s="335"/>
      <c r="B41" s="329" t="s">
        <v>356</v>
      </c>
      <c r="C41" s="683"/>
      <c r="D41" s="683"/>
      <c r="E41" s="683"/>
      <c r="F41" s="683"/>
      <c r="G41" s="683"/>
      <c r="H41" s="678"/>
      <c r="I41" s="683"/>
      <c r="J41" s="683"/>
    </row>
    <row r="42" spans="1:10" ht="15" customHeight="1">
      <c r="A42" s="332">
        <v>28</v>
      </c>
      <c r="B42" s="373" t="s">
        <v>340</v>
      </c>
      <c r="C42" s="691">
        <v>172669610.8348</v>
      </c>
      <c r="D42" s="691">
        <v>167752690.86499998</v>
      </c>
      <c r="E42" s="691">
        <v>164414703.24720001</v>
      </c>
      <c r="F42" s="691">
        <v>153604027.46289998</v>
      </c>
      <c r="G42" s="691">
        <v>149026336.69</v>
      </c>
      <c r="H42" s="678"/>
      <c r="I42" s="691"/>
      <c r="J42" s="691"/>
    </row>
    <row r="43" spans="1:10" ht="15">
      <c r="A43" s="332">
        <v>29</v>
      </c>
      <c r="B43" s="333" t="s">
        <v>341</v>
      </c>
      <c r="C43" s="691">
        <v>23093719.351650029</v>
      </c>
      <c r="D43" s="691">
        <v>19768803.225148078</v>
      </c>
      <c r="E43" s="691">
        <v>24265320.006339312</v>
      </c>
      <c r="F43" s="691">
        <v>20478587.869728357</v>
      </c>
      <c r="G43" s="691">
        <v>22711496.467702851</v>
      </c>
      <c r="H43" s="678"/>
      <c r="I43" s="691"/>
      <c r="J43" s="691"/>
    </row>
    <row r="44" spans="1:10" ht="15">
      <c r="A44" s="371">
        <v>30</v>
      </c>
      <c r="B44" s="372" t="s">
        <v>339</v>
      </c>
      <c r="C44" s="690">
        <v>7.4769078209336985</v>
      </c>
      <c r="D44" s="690">
        <v>8.4857281927719441</v>
      </c>
      <c r="E44" s="690">
        <v>6.77570719051909</v>
      </c>
      <c r="F44" s="690">
        <v>7.5007138402330424</v>
      </c>
      <c r="G44" s="690">
        <v>6.5617136634710373</v>
      </c>
      <c r="H44" s="678"/>
      <c r="I44" s="690"/>
      <c r="J44" s="690"/>
    </row>
    <row r="45" spans="1:10" ht="15">
      <c r="A45" s="371"/>
      <c r="B45" s="329" t="s">
        <v>453</v>
      </c>
      <c r="C45" s="683"/>
      <c r="D45" s="683"/>
      <c r="E45" s="683"/>
      <c r="F45" s="683"/>
      <c r="G45" s="683"/>
      <c r="H45" s="678"/>
      <c r="I45" s="683"/>
      <c r="J45" s="683"/>
    </row>
    <row r="46" spans="1:10" ht="15">
      <c r="A46" s="371">
        <v>31</v>
      </c>
      <c r="B46" s="372" t="s">
        <v>460</v>
      </c>
      <c r="C46" s="686">
        <v>410370679.37576294</v>
      </c>
      <c r="D46" s="686">
        <v>414911803.85435462</v>
      </c>
      <c r="E46" s="686">
        <v>420864835.86790001</v>
      </c>
      <c r="F46" s="686">
        <v>423963656.05232698</v>
      </c>
      <c r="G46" s="686">
        <v>417625095.31626904</v>
      </c>
      <c r="H46" s="678"/>
      <c r="I46" s="686"/>
      <c r="J46" s="686"/>
    </row>
    <row r="47" spans="1:10" ht="15">
      <c r="A47" s="371">
        <v>32</v>
      </c>
      <c r="B47" s="372" t="s">
        <v>473</v>
      </c>
      <c r="C47" s="686">
        <v>250047401.04660749</v>
      </c>
      <c r="D47" s="686">
        <v>255703727.10201162</v>
      </c>
      <c r="E47" s="686">
        <v>265389534.78531218</v>
      </c>
      <c r="F47" s="686">
        <v>274656241.39402753</v>
      </c>
      <c r="G47" s="686">
        <v>274073874.14183408</v>
      </c>
      <c r="H47" s="678"/>
      <c r="I47" s="686"/>
      <c r="J47" s="686"/>
    </row>
    <row r="48" spans="1:10" thickBot="1">
      <c r="A48" s="83">
        <v>33</v>
      </c>
      <c r="B48" s="170" t="s">
        <v>487</v>
      </c>
      <c r="C48" s="699">
        <v>1.6411715445075634</v>
      </c>
      <c r="D48" s="699">
        <v>1.6226271261538077</v>
      </c>
      <c r="E48" s="699">
        <v>1.5858381009950531</v>
      </c>
      <c r="F48" s="699">
        <v>1.5436155898023083</v>
      </c>
      <c r="G48" s="699">
        <v>1.5237683512298101</v>
      </c>
      <c r="H48" s="678"/>
      <c r="I48" s="699"/>
      <c r="J48" s="699"/>
    </row>
    <row r="49" spans="1:10">
      <c r="A49" s="20"/>
      <c r="C49" s="675"/>
      <c r="D49" s="675"/>
      <c r="E49" s="675"/>
      <c r="F49" s="675"/>
      <c r="G49" s="675"/>
      <c r="H49" s="676"/>
      <c r="I49" s="676"/>
      <c r="J49" s="676"/>
    </row>
    <row r="50" spans="1:10" ht="39.75">
      <c r="B50" s="23" t="s">
        <v>944</v>
      </c>
      <c r="C50" s="675"/>
      <c r="D50" s="675"/>
      <c r="E50" s="675"/>
      <c r="F50" s="675"/>
      <c r="G50" s="675"/>
      <c r="H50" s="676"/>
      <c r="I50" s="676"/>
      <c r="J50" s="676"/>
    </row>
    <row r="51" spans="1:10" ht="65.25">
      <c r="B51" s="245" t="s">
        <v>355</v>
      </c>
      <c r="C51" s="675"/>
      <c r="D51" s="675"/>
      <c r="E51" s="675"/>
      <c r="F51" s="675"/>
      <c r="G51" s="675"/>
      <c r="H51" s="676"/>
      <c r="I51" s="676"/>
      <c r="J51" s="676"/>
    </row>
    <row r="52" spans="1:10">
      <c r="C52" s="676"/>
      <c r="D52" s="677"/>
      <c r="E52" s="677"/>
      <c r="F52" s="677"/>
      <c r="G52" s="677"/>
      <c r="H52" s="678"/>
      <c r="I52" s="678"/>
      <c r="J52" s="678"/>
    </row>
    <row r="53" spans="1:10">
      <c r="C53" s="676"/>
      <c r="D53" s="677"/>
      <c r="E53" s="677"/>
      <c r="F53" s="677"/>
      <c r="G53" s="677"/>
      <c r="H53" s="676"/>
      <c r="I53" s="676"/>
      <c r="J53" s="676"/>
    </row>
    <row r="54" spans="1:10">
      <c r="C54" s="676"/>
      <c r="D54" s="677"/>
      <c r="E54" s="677"/>
      <c r="F54" s="677"/>
      <c r="G54" s="677"/>
      <c r="H54" s="678"/>
      <c r="I54" s="678"/>
      <c r="J54" s="678"/>
    </row>
    <row r="55" spans="1:10">
      <c r="C55" s="676"/>
      <c r="D55" s="677"/>
      <c r="E55" s="677"/>
      <c r="F55" s="677"/>
      <c r="G55" s="677"/>
      <c r="H55" s="678"/>
      <c r="I55" s="678"/>
      <c r="J55" s="678"/>
    </row>
    <row r="56" spans="1:10">
      <c r="C56" s="676"/>
      <c r="D56" s="677"/>
      <c r="E56" s="677"/>
      <c r="F56" s="677"/>
      <c r="G56" s="677"/>
      <c r="H56" s="678"/>
      <c r="I56" s="678"/>
      <c r="J56" s="678"/>
    </row>
    <row r="57" spans="1:10">
      <c r="C57" s="676"/>
      <c r="D57" s="677"/>
      <c r="E57" s="677"/>
      <c r="F57" s="677"/>
      <c r="G57" s="677"/>
      <c r="H57" s="678"/>
      <c r="I57" s="678"/>
      <c r="J57" s="678"/>
    </row>
    <row r="58" spans="1:10">
      <c r="C58" s="676"/>
      <c r="D58" s="677"/>
      <c r="E58" s="677"/>
      <c r="F58" s="677"/>
      <c r="G58" s="677"/>
      <c r="H58" s="678"/>
      <c r="I58" s="678"/>
      <c r="J58" s="678"/>
    </row>
    <row r="59" spans="1:10">
      <c r="C59" s="676"/>
      <c r="D59" s="677"/>
      <c r="E59" s="677"/>
      <c r="F59" s="677"/>
      <c r="G59" s="677"/>
      <c r="H59" s="678"/>
      <c r="I59" s="678"/>
      <c r="J59" s="678"/>
    </row>
    <row r="60" spans="1:10">
      <c r="C60" s="676"/>
      <c r="D60" s="677"/>
      <c r="E60" s="677"/>
      <c r="F60" s="677"/>
      <c r="G60" s="677"/>
      <c r="H60" s="678"/>
      <c r="I60" s="678"/>
      <c r="J60" s="678"/>
    </row>
    <row r="61" spans="1:10">
      <c r="C61" s="676"/>
      <c r="D61" s="677"/>
      <c r="E61" s="677"/>
      <c r="F61" s="677"/>
      <c r="G61" s="677"/>
      <c r="H61" s="678"/>
      <c r="I61" s="678"/>
      <c r="J61" s="678"/>
    </row>
    <row r="62" spans="1:10">
      <c r="C62" s="676"/>
      <c r="D62" s="677"/>
      <c r="E62" s="677"/>
      <c r="F62" s="677"/>
      <c r="G62" s="677"/>
      <c r="H62" s="678"/>
      <c r="I62" s="678"/>
      <c r="J62" s="678"/>
    </row>
    <row r="63" spans="1:10">
      <c r="C63" s="676"/>
      <c r="D63" s="677"/>
      <c r="E63" s="677"/>
      <c r="F63" s="677"/>
      <c r="G63" s="677"/>
      <c r="H63" s="678"/>
      <c r="I63" s="678"/>
      <c r="J63" s="678"/>
    </row>
    <row r="64" spans="1:10">
      <c r="C64" s="676"/>
      <c r="D64" s="677"/>
      <c r="E64" s="677"/>
      <c r="F64" s="677"/>
      <c r="G64" s="677"/>
      <c r="H64" s="678"/>
      <c r="I64" s="678"/>
      <c r="J64" s="678"/>
    </row>
    <row r="65" spans="3:10">
      <c r="C65" s="676"/>
      <c r="D65" s="677"/>
      <c r="E65" s="677"/>
      <c r="F65" s="677"/>
      <c r="G65" s="677"/>
      <c r="H65" s="678"/>
      <c r="I65" s="678"/>
      <c r="J65" s="678"/>
    </row>
    <row r="66" spans="3:10">
      <c r="C66" s="676"/>
      <c r="D66" s="677"/>
      <c r="E66" s="677"/>
      <c r="F66" s="677"/>
      <c r="G66" s="677"/>
      <c r="H66" s="678"/>
      <c r="I66" s="678"/>
      <c r="J66" s="678"/>
    </row>
    <row r="67" spans="3:10">
      <c r="C67" s="676"/>
      <c r="D67" s="677"/>
      <c r="E67" s="677"/>
      <c r="F67" s="677"/>
      <c r="G67" s="677"/>
      <c r="H67" s="678"/>
      <c r="I67" s="678"/>
      <c r="J67" s="678"/>
    </row>
    <row r="68" spans="3:10">
      <c r="C68" s="676"/>
      <c r="D68" s="677"/>
      <c r="E68" s="677"/>
      <c r="F68" s="677"/>
      <c r="G68" s="677"/>
      <c r="H68" s="678"/>
      <c r="I68" s="678"/>
      <c r="J68" s="678"/>
    </row>
    <row r="69" spans="3:10">
      <c r="C69" s="676"/>
      <c r="D69" s="677"/>
      <c r="E69" s="677"/>
      <c r="F69" s="677"/>
      <c r="G69" s="677"/>
      <c r="H69" s="678"/>
      <c r="I69" s="678"/>
      <c r="J69" s="678"/>
    </row>
    <row r="70" spans="3:10">
      <c r="C70" s="676"/>
      <c r="D70" s="677"/>
      <c r="E70" s="677"/>
      <c r="F70" s="677"/>
      <c r="G70" s="677"/>
      <c r="H70" s="678"/>
      <c r="I70" s="678"/>
      <c r="J70" s="678"/>
    </row>
    <row r="71" spans="3:10">
      <c r="C71" s="676"/>
      <c r="D71" s="677"/>
      <c r="E71" s="677"/>
      <c r="F71" s="677"/>
      <c r="G71" s="677"/>
      <c r="H71" s="678"/>
      <c r="I71" s="678"/>
      <c r="J71" s="678"/>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6"/>
  <sheetViews>
    <sheetView showGridLines="0" zoomScale="80" zoomScaleNormal="80" workbookViewId="0">
      <selection activeCell="C8" sqref="C8:G21"/>
    </sheetView>
  </sheetViews>
  <sheetFormatPr defaultColWidth="9.28515625" defaultRowHeight="12.75"/>
  <cols>
    <col min="1" max="1" width="11.7109375" style="379" bestFit="1" customWidth="1"/>
    <col min="2" max="2" width="105.28515625" style="379" bestFit="1" customWidth="1"/>
    <col min="3" max="3" width="15.28515625" style="684" bestFit="1" customWidth="1"/>
    <col min="4" max="4" width="14.28515625" style="684" bestFit="1" customWidth="1"/>
    <col min="5" max="5" width="17.5703125" style="684" bestFit="1" customWidth="1"/>
    <col min="6" max="6" width="14.28515625" style="684" bestFit="1" customWidth="1"/>
    <col min="7" max="7" width="30.42578125" style="684" customWidth="1"/>
    <col min="8" max="8" width="15.140625" style="684" bestFit="1" customWidth="1"/>
    <col min="9" max="9" width="9.85546875" style="379" bestFit="1" customWidth="1"/>
    <col min="10" max="16384" width="9.28515625" style="379"/>
  </cols>
  <sheetData>
    <row r="1" spans="1:9" ht="13.5">
      <c r="A1" s="378" t="s">
        <v>108</v>
      </c>
      <c r="B1" s="305" t="str">
        <f>Info!C2</f>
        <v>JSC "VTB Bank (Georgia)"</v>
      </c>
    </row>
    <row r="2" spans="1:9">
      <c r="A2" s="380" t="s">
        <v>109</v>
      </c>
      <c r="B2" s="382">
        <f>Info!D2</f>
        <v>45747</v>
      </c>
    </row>
    <row r="3" spans="1:9">
      <c r="A3" s="381" t="s">
        <v>493</v>
      </c>
    </row>
    <row r="5" spans="1:9">
      <c r="A5" s="864" t="s">
        <v>494</v>
      </c>
      <c r="B5" s="865"/>
      <c r="C5" s="870" t="s">
        <v>495</v>
      </c>
      <c r="D5" s="871"/>
      <c r="E5" s="871"/>
      <c r="F5" s="871"/>
      <c r="G5" s="871"/>
      <c r="H5" s="872"/>
    </row>
    <row r="6" spans="1:9">
      <c r="A6" s="866"/>
      <c r="B6" s="867"/>
      <c r="C6" s="873"/>
      <c r="D6" s="874"/>
      <c r="E6" s="874"/>
      <c r="F6" s="874"/>
      <c r="G6" s="874"/>
      <c r="H6" s="875"/>
    </row>
    <row r="7" spans="1:9" ht="25.5">
      <c r="A7" s="868"/>
      <c r="B7" s="869"/>
      <c r="C7" s="628" t="s">
        <v>496</v>
      </c>
      <c r="D7" s="628" t="s">
        <v>497</v>
      </c>
      <c r="E7" s="628" t="s">
        <v>498</v>
      </c>
      <c r="F7" s="628" t="s">
        <v>499</v>
      </c>
      <c r="G7" s="627" t="s">
        <v>679</v>
      </c>
      <c r="H7" s="628" t="s">
        <v>66</v>
      </c>
    </row>
    <row r="8" spans="1:9">
      <c r="A8" s="476">
        <v>1</v>
      </c>
      <c r="B8" s="475" t="s">
        <v>134</v>
      </c>
      <c r="C8" s="717">
        <v>351</v>
      </c>
      <c r="D8" s="717">
        <v>0.36000000000001364</v>
      </c>
      <c r="E8" s="717">
        <v>0</v>
      </c>
      <c r="F8" s="717">
        <v>0</v>
      </c>
      <c r="G8" s="717"/>
      <c r="H8" s="630">
        <f t="shared" ref="H8:H20" si="0">SUM(C8:G8)</f>
        <v>351.36</v>
      </c>
    </row>
    <row r="9" spans="1:9">
      <c r="A9" s="476">
        <v>2</v>
      </c>
      <c r="B9" s="475" t="s">
        <v>135</v>
      </c>
      <c r="C9" s="717"/>
      <c r="D9" s="717"/>
      <c r="E9" s="717"/>
      <c r="F9" s="717"/>
      <c r="G9" s="717"/>
      <c r="H9" s="630">
        <f t="shared" si="0"/>
        <v>0</v>
      </c>
    </row>
    <row r="10" spans="1:9">
      <c r="A10" s="476">
        <v>3</v>
      </c>
      <c r="B10" s="475" t="s">
        <v>136</v>
      </c>
      <c r="C10" s="717"/>
      <c r="D10" s="717"/>
      <c r="E10" s="717"/>
      <c r="F10" s="717"/>
      <c r="G10" s="717"/>
      <c r="H10" s="630">
        <f t="shared" si="0"/>
        <v>0</v>
      </c>
    </row>
    <row r="11" spans="1:9">
      <c r="A11" s="476">
        <v>4</v>
      </c>
      <c r="B11" s="475" t="s">
        <v>137</v>
      </c>
      <c r="C11" s="717"/>
      <c r="D11" s="717"/>
      <c r="E11" s="717"/>
      <c r="F11" s="717"/>
      <c r="G11" s="717"/>
      <c r="H11" s="630">
        <f t="shared" si="0"/>
        <v>0</v>
      </c>
    </row>
    <row r="12" spans="1:9">
      <c r="A12" s="476">
        <v>5</v>
      </c>
      <c r="B12" s="475" t="s">
        <v>948</v>
      </c>
      <c r="C12" s="717"/>
      <c r="D12" s="717"/>
      <c r="E12" s="717"/>
      <c r="F12" s="717"/>
      <c r="G12" s="717"/>
      <c r="H12" s="630">
        <f t="shared" si="0"/>
        <v>0</v>
      </c>
    </row>
    <row r="13" spans="1:9">
      <c r="A13" s="476">
        <v>6</v>
      </c>
      <c r="B13" s="475" t="s">
        <v>138</v>
      </c>
      <c r="C13" s="717">
        <v>6781093.4579999996</v>
      </c>
      <c r="D13" s="717">
        <v>117749.7219</v>
      </c>
      <c r="E13" s="717">
        <v>0</v>
      </c>
      <c r="F13" s="717">
        <v>0</v>
      </c>
      <c r="G13" s="717"/>
      <c r="H13" s="630">
        <f>SUM(C13:G13)</f>
        <v>6898843.1798999999</v>
      </c>
      <c r="I13" s="661">
        <v>0.82689999975264072</v>
      </c>
    </row>
    <row r="14" spans="1:9">
      <c r="A14" s="476">
        <v>7</v>
      </c>
      <c r="B14" s="475" t="s">
        <v>71</v>
      </c>
      <c r="C14" s="717">
        <v>0</v>
      </c>
      <c r="D14" s="717">
        <v>77720754.851399988</v>
      </c>
      <c r="E14" s="717">
        <v>72126180.335599929</v>
      </c>
      <c r="F14" s="717">
        <v>7749599.3345999978</v>
      </c>
      <c r="G14" s="717">
        <v>0</v>
      </c>
      <c r="H14" s="630">
        <f t="shared" si="0"/>
        <v>157596534.52159992</v>
      </c>
      <c r="I14" s="661">
        <v>-0.26910006999969482</v>
      </c>
    </row>
    <row r="15" spans="1:9">
      <c r="A15" s="476">
        <v>8</v>
      </c>
      <c r="B15" s="477" t="s">
        <v>72</v>
      </c>
      <c r="C15" s="717">
        <v>0</v>
      </c>
      <c r="D15" s="717">
        <v>0</v>
      </c>
      <c r="E15" s="717">
        <v>0</v>
      </c>
      <c r="F15" s="717">
        <v>0</v>
      </c>
      <c r="G15" s="717">
        <v>0</v>
      </c>
      <c r="H15" s="630">
        <f t="shared" si="0"/>
        <v>0</v>
      </c>
    </row>
    <row r="16" spans="1:9">
      <c r="A16" s="476">
        <v>9</v>
      </c>
      <c r="B16" s="475" t="s">
        <v>949</v>
      </c>
      <c r="C16" s="717">
        <v>0</v>
      </c>
      <c r="D16" s="717">
        <v>35738.244700000003</v>
      </c>
      <c r="E16" s="717">
        <v>1650860.9321000001</v>
      </c>
      <c r="F16" s="717">
        <v>4638590.3622000003</v>
      </c>
      <c r="G16" s="717">
        <v>0</v>
      </c>
      <c r="H16" s="630">
        <f t="shared" si="0"/>
        <v>6325189.5390000008</v>
      </c>
      <c r="I16" s="661">
        <v>-0.83220000006258488</v>
      </c>
    </row>
    <row r="17" spans="1:9">
      <c r="A17" s="476">
        <v>10</v>
      </c>
      <c r="B17" s="479" t="s">
        <v>514</v>
      </c>
      <c r="C17" s="717">
        <v>0</v>
      </c>
      <c r="D17" s="717">
        <v>6159406.4742999999</v>
      </c>
      <c r="E17" s="717">
        <v>51907017.791000001</v>
      </c>
      <c r="F17" s="717">
        <v>0</v>
      </c>
      <c r="G17" s="717">
        <v>0</v>
      </c>
      <c r="H17" s="630">
        <f t="shared" si="0"/>
        <v>58066424.265299998</v>
      </c>
      <c r="I17" s="661">
        <v>-0.39869999885559082</v>
      </c>
    </row>
    <row r="18" spans="1:9">
      <c r="A18" s="476">
        <v>11</v>
      </c>
      <c r="B18" s="475" t="s">
        <v>68</v>
      </c>
      <c r="C18" s="717">
        <v>0</v>
      </c>
      <c r="D18" s="717">
        <v>0</v>
      </c>
      <c r="E18" s="717">
        <v>0</v>
      </c>
      <c r="F18" s="717">
        <v>0</v>
      </c>
      <c r="G18" s="717">
        <v>0</v>
      </c>
      <c r="H18" s="630">
        <f t="shared" si="0"/>
        <v>0</v>
      </c>
    </row>
    <row r="19" spans="1:9">
      <c r="A19" s="476">
        <v>12</v>
      </c>
      <c r="B19" s="475" t="s">
        <v>69</v>
      </c>
      <c r="C19" s="717"/>
      <c r="D19" s="717"/>
      <c r="E19" s="717"/>
      <c r="F19" s="717"/>
      <c r="G19" s="717"/>
      <c r="H19" s="630">
        <f t="shared" si="0"/>
        <v>0</v>
      </c>
    </row>
    <row r="20" spans="1:9">
      <c r="A20" s="478">
        <v>13</v>
      </c>
      <c r="B20" s="477" t="s">
        <v>70</v>
      </c>
      <c r="C20" s="717"/>
      <c r="D20" s="717"/>
      <c r="E20" s="717"/>
      <c r="F20" s="717"/>
      <c r="G20" s="717"/>
      <c r="H20" s="630">
        <f t="shared" si="0"/>
        <v>0</v>
      </c>
    </row>
    <row r="21" spans="1:9">
      <c r="A21" s="476">
        <v>14</v>
      </c>
      <c r="B21" s="475" t="s">
        <v>500</v>
      </c>
      <c r="C21" s="717">
        <v>175788349</v>
      </c>
      <c r="D21" s="717">
        <v>16239256.099312639</v>
      </c>
      <c r="E21" s="717">
        <v>2225623.7324000001</v>
      </c>
      <c r="F21" s="717">
        <v>0</v>
      </c>
      <c r="G21" s="717">
        <v>83155275</v>
      </c>
      <c r="H21" s="630">
        <f>SUM(C21:G21)</f>
        <v>277408503.8317126</v>
      </c>
      <c r="I21" s="661">
        <v>0.47251260280609131</v>
      </c>
    </row>
    <row r="22" spans="1:9">
      <c r="A22" s="474">
        <v>15</v>
      </c>
      <c r="B22" s="473" t="s">
        <v>66</v>
      </c>
      <c r="C22" s="630">
        <f>SUM(C18:C21)+SUM(C8:C16)</f>
        <v>182569793.458</v>
      </c>
      <c r="D22" s="630">
        <f t="shared" ref="D22:G22" si="1">SUM(D18:D21)+SUM(D8:D16)</f>
        <v>94113499.277312621</v>
      </c>
      <c r="E22" s="630">
        <f>SUM(E18:E21)+SUM(E8:E16)</f>
        <v>76002665.000099927</v>
      </c>
      <c r="F22" s="630">
        <f t="shared" si="1"/>
        <v>12388189.696799997</v>
      </c>
      <c r="G22" s="630">
        <f t="shared" si="1"/>
        <v>83155275</v>
      </c>
      <c r="H22" s="630">
        <f>SUM(H18:H21)+SUM(H8:H16)</f>
        <v>448229422.43221253</v>
      </c>
    </row>
    <row r="23" spans="1:9">
      <c r="H23" s="684">
        <f>H22-'13. CRME'!C22</f>
        <v>5.6291688084602356</v>
      </c>
    </row>
    <row r="26" spans="1:9" ht="38.25">
      <c r="B26" s="399" t="s">
        <v>678</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7"/>
  <sheetViews>
    <sheetView showGridLines="0" zoomScale="80" zoomScaleNormal="80" workbookViewId="0">
      <selection activeCell="D22" sqref="C22:E22"/>
    </sheetView>
  </sheetViews>
  <sheetFormatPr defaultColWidth="9.28515625" defaultRowHeight="12.75"/>
  <cols>
    <col min="1" max="1" width="11.7109375" style="383" bestFit="1" customWidth="1"/>
    <col min="2" max="2" width="86.7109375" style="379" customWidth="1"/>
    <col min="3" max="4" width="31.5703125" style="379" customWidth="1"/>
    <col min="5" max="5" width="16.42578125" style="385" bestFit="1" customWidth="1"/>
    <col min="6" max="6" width="14.28515625" style="385" bestFit="1" customWidth="1"/>
    <col min="7" max="7" width="20" style="379" bestFit="1" customWidth="1"/>
    <col min="8" max="8" width="23.7109375" style="379" customWidth="1"/>
    <col min="9" max="9" width="11.42578125" style="379" bestFit="1" customWidth="1"/>
    <col min="10" max="16384" width="9.28515625" style="379"/>
  </cols>
  <sheetData>
    <row r="1" spans="1:9" ht="13.5">
      <c r="A1" s="378" t="s">
        <v>108</v>
      </c>
      <c r="B1" s="305" t="str">
        <f>Info!C2</f>
        <v>JSC "VTB Bank (Georgia)"</v>
      </c>
      <c r="C1" s="491"/>
      <c r="D1" s="491"/>
      <c r="E1" s="491"/>
      <c r="F1" s="491"/>
      <c r="G1" s="491"/>
      <c r="H1" s="491"/>
    </row>
    <row r="2" spans="1:9">
      <c r="A2" s="380" t="s">
        <v>109</v>
      </c>
      <c r="B2" s="382">
        <f>Info!D2</f>
        <v>45747</v>
      </c>
      <c r="C2" s="491"/>
      <c r="D2" s="491"/>
      <c r="E2" s="491"/>
      <c r="F2" s="491"/>
      <c r="G2" s="491"/>
      <c r="H2" s="491"/>
    </row>
    <row r="3" spans="1:9">
      <c r="A3" s="381" t="s">
        <v>501</v>
      </c>
      <c r="B3" s="491"/>
      <c r="C3" s="491"/>
      <c r="D3" s="491"/>
      <c r="E3" s="491"/>
      <c r="F3" s="491"/>
      <c r="G3" s="491"/>
      <c r="H3" s="491"/>
    </row>
    <row r="4" spans="1:9">
      <c r="A4" s="492"/>
      <c r="B4" s="491"/>
      <c r="C4" s="490" t="s">
        <v>502</v>
      </c>
      <c r="D4" s="490" t="s">
        <v>503</v>
      </c>
      <c r="E4" s="490" t="s">
        <v>504</v>
      </c>
      <c r="F4" s="490" t="s">
        <v>505</v>
      </c>
      <c r="G4" s="490" t="s">
        <v>506</v>
      </c>
      <c r="H4" s="490" t="s">
        <v>507</v>
      </c>
    </row>
    <row r="5" spans="1:9" ht="34.35" customHeight="1">
      <c r="A5" s="864" t="s">
        <v>867</v>
      </c>
      <c r="B5" s="865"/>
      <c r="C5" s="878" t="s">
        <v>596</v>
      </c>
      <c r="D5" s="878"/>
      <c r="E5" s="878" t="s">
        <v>866</v>
      </c>
      <c r="F5" s="876" t="s">
        <v>865</v>
      </c>
      <c r="G5" s="876" t="s">
        <v>511</v>
      </c>
      <c r="H5" s="488" t="s">
        <v>864</v>
      </c>
    </row>
    <row r="6" spans="1:9" ht="25.5">
      <c r="A6" s="868"/>
      <c r="B6" s="869"/>
      <c r="C6" s="489" t="s">
        <v>512</v>
      </c>
      <c r="D6" s="489" t="s">
        <v>513</v>
      </c>
      <c r="E6" s="878"/>
      <c r="F6" s="877"/>
      <c r="G6" s="877"/>
      <c r="H6" s="488" t="s">
        <v>863</v>
      </c>
    </row>
    <row r="7" spans="1:9">
      <c r="A7" s="486">
        <v>1</v>
      </c>
      <c r="B7" s="475" t="s">
        <v>134</v>
      </c>
      <c r="C7" s="718"/>
      <c r="D7" s="718">
        <v>351</v>
      </c>
      <c r="E7" s="719"/>
      <c r="F7" s="719"/>
      <c r="G7" s="718"/>
      <c r="H7" s="625">
        <f t="shared" ref="H7:H20" si="0">C7+D7-E7-F7</f>
        <v>351</v>
      </c>
    </row>
    <row r="8" spans="1:9" ht="25.35" customHeight="1">
      <c r="A8" s="486">
        <v>2</v>
      </c>
      <c r="B8" s="475" t="s">
        <v>135</v>
      </c>
      <c r="C8" s="718"/>
      <c r="D8" s="718"/>
      <c r="E8" s="719"/>
      <c r="F8" s="719"/>
      <c r="G8" s="718"/>
      <c r="H8" s="625">
        <f t="shared" si="0"/>
        <v>0</v>
      </c>
    </row>
    <row r="9" spans="1:9">
      <c r="A9" s="486">
        <v>3</v>
      </c>
      <c r="B9" s="475" t="s">
        <v>136</v>
      </c>
      <c r="C9" s="718"/>
      <c r="D9" s="718"/>
      <c r="E9" s="719"/>
      <c r="F9" s="719"/>
      <c r="G9" s="718"/>
      <c r="H9" s="625">
        <f t="shared" si="0"/>
        <v>0</v>
      </c>
    </row>
    <row r="10" spans="1:9">
      <c r="A10" s="486">
        <v>4</v>
      </c>
      <c r="B10" s="475" t="s">
        <v>137</v>
      </c>
      <c r="C10" s="718"/>
      <c r="D10" s="718"/>
      <c r="E10" s="719"/>
      <c r="F10" s="719"/>
      <c r="G10" s="718"/>
      <c r="H10" s="625">
        <f t="shared" si="0"/>
        <v>0</v>
      </c>
    </row>
    <row r="11" spans="1:9">
      <c r="A11" s="486">
        <v>5</v>
      </c>
      <c r="B11" s="475" t="s">
        <v>948</v>
      </c>
      <c r="C11" s="718"/>
      <c r="D11" s="718"/>
      <c r="E11" s="719"/>
      <c r="F11" s="719"/>
      <c r="G11" s="718"/>
      <c r="H11" s="625">
        <f t="shared" si="0"/>
        <v>0</v>
      </c>
    </row>
    <row r="12" spans="1:9">
      <c r="A12" s="486">
        <v>6</v>
      </c>
      <c r="B12" s="475" t="s">
        <v>138</v>
      </c>
      <c r="C12" s="718"/>
      <c r="D12" s="718">
        <v>6898980.8353000004</v>
      </c>
      <c r="E12" s="719">
        <v>143</v>
      </c>
      <c r="F12" s="719"/>
      <c r="G12" s="718"/>
      <c r="H12" s="625">
        <f t="shared" si="0"/>
        <v>6898837.8353000004</v>
      </c>
      <c r="I12" s="661">
        <f>H12-' 17. Residual Maturity'!H13</f>
        <v>-5.3445999994874001</v>
      </c>
    </row>
    <row r="13" spans="1:9">
      <c r="A13" s="486">
        <v>7</v>
      </c>
      <c r="B13" s="475" t="s">
        <v>71</v>
      </c>
      <c r="C13" s="718">
        <v>100887522.33949232</v>
      </c>
      <c r="D13" s="718">
        <v>79213128.034224868</v>
      </c>
      <c r="E13" s="719">
        <v>22504115.591251828</v>
      </c>
      <c r="F13" s="719">
        <v>0</v>
      </c>
      <c r="G13" s="718">
        <v>0</v>
      </c>
      <c r="H13" s="625">
        <f t="shared" si="0"/>
        <v>157596534.78246537</v>
      </c>
      <c r="I13" s="661">
        <f>H13-' 17. Residual Maturity'!H14</f>
        <v>0.26086544990539551</v>
      </c>
    </row>
    <row r="14" spans="1:9">
      <c r="A14" s="486">
        <v>8</v>
      </c>
      <c r="B14" s="477" t="s">
        <v>72</v>
      </c>
      <c r="C14" s="718">
        <v>0</v>
      </c>
      <c r="D14" s="718">
        <v>0</v>
      </c>
      <c r="E14" s="718">
        <v>0</v>
      </c>
      <c r="F14" s="719">
        <v>0</v>
      </c>
      <c r="G14" s="718">
        <v>0</v>
      </c>
      <c r="H14" s="625">
        <f t="shared" si="0"/>
        <v>0</v>
      </c>
      <c r="I14" s="661">
        <f>H14-' 17. Residual Maturity'!H15</f>
        <v>0</v>
      </c>
    </row>
    <row r="15" spans="1:9" ht="24">
      <c r="A15" s="486">
        <v>9</v>
      </c>
      <c r="B15" s="475" t="s">
        <v>949</v>
      </c>
      <c r="C15" s="718">
        <v>165970.18612999999</v>
      </c>
      <c r="D15" s="718">
        <v>6220907.8071411652</v>
      </c>
      <c r="E15" s="719">
        <v>61688.721892866575</v>
      </c>
      <c r="F15" s="719">
        <v>0</v>
      </c>
      <c r="G15" s="718">
        <v>0</v>
      </c>
      <c r="H15" s="625">
        <f t="shared" si="0"/>
        <v>6325189.2713782992</v>
      </c>
      <c r="I15" s="661">
        <f>H15-' 17. Residual Maturity'!H16</f>
        <v>-0.26762170158326626</v>
      </c>
    </row>
    <row r="16" spans="1:9">
      <c r="A16" s="486">
        <v>10</v>
      </c>
      <c r="B16" s="479" t="s">
        <v>514</v>
      </c>
      <c r="C16" s="718">
        <v>73860257.355812326</v>
      </c>
      <c r="D16" s="718">
        <v>0</v>
      </c>
      <c r="E16" s="719">
        <v>15793833.44092468</v>
      </c>
      <c r="F16" s="719">
        <v>0</v>
      </c>
      <c r="G16" s="718">
        <v>3473733.58</v>
      </c>
      <c r="H16" s="625">
        <f t="shared" si="0"/>
        <v>58066423.914887644</v>
      </c>
      <c r="I16" s="661">
        <f>H16-' 17. Residual Maturity'!H17</f>
        <v>-0.35041235387325287</v>
      </c>
    </row>
    <row r="17" spans="1:9">
      <c r="A17" s="486">
        <v>11</v>
      </c>
      <c r="B17" s="475" t="s">
        <v>68</v>
      </c>
      <c r="C17" s="718">
        <v>0</v>
      </c>
      <c r="D17" s="718">
        <v>0</v>
      </c>
      <c r="E17" s="719">
        <v>0</v>
      </c>
      <c r="F17" s="719">
        <v>0</v>
      </c>
      <c r="G17" s="718">
        <v>0</v>
      </c>
      <c r="H17" s="625">
        <f t="shared" si="0"/>
        <v>0</v>
      </c>
    </row>
    <row r="18" spans="1:9">
      <c r="A18" s="486">
        <v>12</v>
      </c>
      <c r="B18" s="475" t="s">
        <v>69</v>
      </c>
      <c r="C18" s="718"/>
      <c r="D18" s="718"/>
      <c r="E18" s="719"/>
      <c r="F18" s="719"/>
      <c r="G18" s="718"/>
      <c r="H18" s="625">
        <f t="shared" si="0"/>
        <v>0</v>
      </c>
    </row>
    <row r="19" spans="1:9">
      <c r="A19" s="487">
        <v>13</v>
      </c>
      <c r="B19" s="477" t="s">
        <v>70</v>
      </c>
      <c r="C19" s="718"/>
      <c r="D19" s="718"/>
      <c r="E19" s="719"/>
      <c r="F19" s="719"/>
      <c r="G19" s="718"/>
      <c r="H19" s="625">
        <f t="shared" si="0"/>
        <v>0</v>
      </c>
    </row>
    <row r="20" spans="1:9">
      <c r="A20" s="486">
        <v>14</v>
      </c>
      <c r="B20" s="475" t="s">
        <v>500</v>
      </c>
      <c r="C20" s="718">
        <v>0</v>
      </c>
      <c r="D20" s="718">
        <v>278370095.15390003</v>
      </c>
      <c r="E20" s="719">
        <v>0</v>
      </c>
      <c r="F20" s="719">
        <v>0</v>
      </c>
      <c r="G20" s="718"/>
      <c r="H20" s="625">
        <f t="shared" si="0"/>
        <v>278370095.15390003</v>
      </c>
      <c r="I20" s="661">
        <v>0</v>
      </c>
    </row>
    <row r="21" spans="1:9" s="384" customFormat="1">
      <c r="A21" s="485">
        <v>15</v>
      </c>
      <c r="B21" s="484" t="s">
        <v>66</v>
      </c>
      <c r="C21" s="720">
        <f>SUM(C7:C15)+SUM(C17:C20)</f>
        <v>101053492.52562232</v>
      </c>
      <c r="D21" s="720">
        <f t="shared" ref="D21:G21" si="1">SUM(D7:D15)+SUM(D17:D20)</f>
        <v>370703462.83056605</v>
      </c>
      <c r="E21" s="720">
        <f>SUM(E7:E15)+SUM(E17:E20)</f>
        <v>22565947.313144695</v>
      </c>
      <c r="F21" s="720">
        <f t="shared" si="1"/>
        <v>0</v>
      </c>
      <c r="G21" s="720">
        <f t="shared" si="1"/>
        <v>0</v>
      </c>
      <c r="H21" s="625">
        <f t="shared" ref="H21" si="2">SUM(H7:H15)+SUM(H17:H20)</f>
        <v>449191008.04304373</v>
      </c>
    </row>
    <row r="22" spans="1:9">
      <c r="A22" s="483">
        <v>16</v>
      </c>
      <c r="B22" s="482" t="s">
        <v>515</v>
      </c>
      <c r="C22" s="718">
        <v>101053492.52562232</v>
      </c>
      <c r="D22" s="718">
        <v>85434035.841366038</v>
      </c>
      <c r="E22" s="718">
        <v>22565804.313144691</v>
      </c>
      <c r="F22" s="719">
        <v>0</v>
      </c>
      <c r="G22" s="718"/>
      <c r="H22" s="625">
        <f>C22+D22-E22-F22</f>
        <v>163921724.05384368</v>
      </c>
    </row>
    <row r="23" spans="1:9">
      <c r="A23" s="483">
        <v>17</v>
      </c>
      <c r="B23" s="482" t="s">
        <v>516</v>
      </c>
      <c r="C23" s="664"/>
      <c r="D23" s="664"/>
      <c r="E23" s="626"/>
      <c r="F23" s="626"/>
      <c r="G23" s="664"/>
      <c r="H23" s="625">
        <f>C23+D23-E23-F23</f>
        <v>0</v>
      </c>
    </row>
    <row r="24" spans="1:9">
      <c r="C24" s="684">
        <f>C22-'24. Risk Sector'!F33</f>
        <v>0</v>
      </c>
      <c r="D24" s="684"/>
      <c r="E24" s="684">
        <f>E22-'24. Risk Sector'!H33</f>
        <v>0</v>
      </c>
      <c r="F24" s="685"/>
      <c r="G24" s="684"/>
      <c r="H24" s="684">
        <f>H21-'7. LI1'!C37</f>
        <v>-0.35672605037689209</v>
      </c>
    </row>
    <row r="25" spans="1:9">
      <c r="E25" s="379"/>
      <c r="F25" s="379"/>
      <c r="H25" s="661">
        <f>'2. SOFP'!E36-H21</f>
        <v>0.35672593116760254</v>
      </c>
    </row>
    <row r="26" spans="1:9" ht="42.6" customHeight="1">
      <c r="B26" s="399" t="s">
        <v>678</v>
      </c>
    </row>
    <row r="27" spans="1:9">
      <c r="E27" s="802"/>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zoomScale="70" zoomScaleNormal="70" workbookViewId="0">
      <selection activeCell="E36" sqref="E36"/>
    </sheetView>
  </sheetViews>
  <sheetFormatPr defaultColWidth="9.28515625" defaultRowHeight="12.75"/>
  <cols>
    <col min="1" max="1" width="11" style="379" bestFit="1" customWidth="1"/>
    <col min="2" max="2" width="54" style="379" customWidth="1"/>
    <col min="3" max="3" width="35" style="379" customWidth="1"/>
    <col min="4" max="4" width="35.140625" style="379" customWidth="1"/>
    <col min="5" max="5" width="22" style="379" customWidth="1"/>
    <col min="6" max="6" width="16.140625" style="379" customWidth="1"/>
    <col min="7" max="7" width="17.85546875" style="379" customWidth="1"/>
    <col min="8" max="8" width="29.7109375" style="379" bestFit="1" customWidth="1"/>
    <col min="9" max="9" width="12.42578125" style="379" bestFit="1" customWidth="1"/>
    <col min="10" max="16384" width="9.28515625" style="379"/>
  </cols>
  <sheetData>
    <row r="1" spans="1:8" ht="13.5">
      <c r="A1" s="378" t="s">
        <v>108</v>
      </c>
      <c r="B1" s="305" t="str">
        <f>Info!C2</f>
        <v>JSC "VTB Bank (Georgia)"</v>
      </c>
      <c r="C1" s="491"/>
      <c r="D1" s="491"/>
      <c r="E1" s="491"/>
      <c r="F1" s="491"/>
      <c r="G1" s="491"/>
      <c r="H1" s="491"/>
    </row>
    <row r="2" spans="1:8">
      <c r="A2" s="380" t="s">
        <v>109</v>
      </c>
      <c r="B2" s="382">
        <f>Info!D2</f>
        <v>45747</v>
      </c>
      <c r="C2" s="491"/>
      <c r="D2" s="491"/>
      <c r="E2" s="491"/>
      <c r="F2" s="491"/>
      <c r="G2" s="491"/>
      <c r="H2" s="491"/>
    </row>
    <row r="3" spans="1:8">
      <c r="A3" s="381" t="s">
        <v>517</v>
      </c>
      <c r="B3" s="491"/>
      <c r="C3" s="491"/>
      <c r="D3" s="491"/>
      <c r="E3" s="491"/>
      <c r="F3" s="491"/>
      <c r="G3" s="491"/>
      <c r="H3" s="491"/>
    </row>
    <row r="4" spans="1:8" ht="14.45" customHeight="1">
      <c r="A4" s="491"/>
      <c r="B4" s="491"/>
      <c r="C4" s="490" t="s">
        <v>502</v>
      </c>
      <c r="D4" s="490" t="s">
        <v>503</v>
      </c>
      <c r="E4" s="490" t="s">
        <v>504</v>
      </c>
      <c r="F4" s="490" t="s">
        <v>505</v>
      </c>
      <c r="G4" s="490" t="s">
        <v>506</v>
      </c>
      <c r="H4" s="490" t="s">
        <v>507</v>
      </c>
    </row>
    <row r="5" spans="1:8" ht="27.6" customHeight="1">
      <c r="A5" s="864" t="s">
        <v>869</v>
      </c>
      <c r="B5" s="865"/>
      <c r="C5" s="879" t="s">
        <v>596</v>
      </c>
      <c r="D5" s="880"/>
      <c r="E5" s="876" t="s">
        <v>866</v>
      </c>
      <c r="F5" s="876" t="s">
        <v>865</v>
      </c>
      <c r="G5" s="876" t="s">
        <v>511</v>
      </c>
      <c r="H5" s="488" t="s">
        <v>864</v>
      </c>
    </row>
    <row r="6" spans="1:8" ht="40.9" customHeight="1">
      <c r="A6" s="868"/>
      <c r="B6" s="869"/>
      <c r="C6" s="489" t="s">
        <v>512</v>
      </c>
      <c r="D6" s="489" t="s">
        <v>513</v>
      </c>
      <c r="E6" s="877"/>
      <c r="F6" s="877"/>
      <c r="G6" s="877"/>
      <c r="H6" s="488" t="s">
        <v>863</v>
      </c>
    </row>
    <row r="7" spans="1:8">
      <c r="A7" s="480">
        <v>1</v>
      </c>
      <c r="B7" s="495" t="s">
        <v>518</v>
      </c>
      <c r="C7" s="718">
        <v>0</v>
      </c>
      <c r="D7" s="718">
        <v>351</v>
      </c>
      <c r="E7" s="718">
        <v>0</v>
      </c>
      <c r="F7" s="718"/>
      <c r="G7" s="664"/>
      <c r="H7" s="625">
        <f t="shared" ref="H7:H34" si="0">C7+D7-E7-F7</f>
        <v>351</v>
      </c>
    </row>
    <row r="8" spans="1:8">
      <c r="A8" s="480">
        <v>2</v>
      </c>
      <c r="B8" s="495" t="s">
        <v>519</v>
      </c>
      <c r="C8" s="718">
        <v>0</v>
      </c>
      <c r="D8" s="718">
        <v>7239243.1953000007</v>
      </c>
      <c r="E8" s="718">
        <v>6321.1922794285701</v>
      </c>
      <c r="F8" s="718"/>
      <c r="G8" s="664"/>
      <c r="H8" s="625">
        <f t="shared" si="0"/>
        <v>7232922.0030205725</v>
      </c>
    </row>
    <row r="9" spans="1:8">
      <c r="A9" s="480">
        <v>3</v>
      </c>
      <c r="B9" s="495" t="s">
        <v>868</v>
      </c>
      <c r="C9" s="718">
        <v>0</v>
      </c>
      <c r="D9" s="718">
        <v>0</v>
      </c>
      <c r="E9" s="718">
        <v>0</v>
      </c>
      <c r="F9" s="718"/>
      <c r="G9" s="664"/>
      <c r="H9" s="625">
        <f t="shared" si="0"/>
        <v>0</v>
      </c>
    </row>
    <row r="10" spans="1:8">
      <c r="A10" s="480">
        <v>4</v>
      </c>
      <c r="B10" s="495" t="s">
        <v>520</v>
      </c>
      <c r="C10" s="718">
        <v>7817200.2930000005</v>
      </c>
      <c r="D10" s="718">
        <v>0</v>
      </c>
      <c r="E10" s="718">
        <v>1662757.6573052502</v>
      </c>
      <c r="F10" s="718"/>
      <c r="G10" s="664"/>
      <c r="H10" s="625">
        <f t="shared" si="0"/>
        <v>6154442.6356947506</v>
      </c>
    </row>
    <row r="11" spans="1:8">
      <c r="A11" s="480">
        <v>5</v>
      </c>
      <c r="B11" s="495" t="s">
        <v>521</v>
      </c>
      <c r="C11" s="718">
        <v>731887.53418399999</v>
      </c>
      <c r="D11" s="718">
        <v>4843627.4804999996</v>
      </c>
      <c r="E11" s="718">
        <v>221805.84491225073</v>
      </c>
      <c r="F11" s="718"/>
      <c r="G11" s="664"/>
      <c r="H11" s="625">
        <f t="shared" si="0"/>
        <v>5353709.1697717486</v>
      </c>
    </row>
    <row r="12" spans="1:8">
      <c r="A12" s="480">
        <v>6</v>
      </c>
      <c r="B12" s="495" t="s">
        <v>522</v>
      </c>
      <c r="C12" s="718">
        <v>0</v>
      </c>
      <c r="D12" s="718">
        <v>0</v>
      </c>
      <c r="E12" s="718">
        <v>0</v>
      </c>
      <c r="F12" s="718"/>
      <c r="G12" s="664"/>
      <c r="H12" s="625">
        <f t="shared" si="0"/>
        <v>0</v>
      </c>
    </row>
    <row r="13" spans="1:8">
      <c r="A13" s="480">
        <v>7</v>
      </c>
      <c r="B13" s="495" t="s">
        <v>523</v>
      </c>
      <c r="C13" s="718">
        <v>0</v>
      </c>
      <c r="D13" s="718">
        <v>0</v>
      </c>
      <c r="E13" s="718">
        <v>0</v>
      </c>
      <c r="F13" s="718"/>
      <c r="G13" s="664"/>
      <c r="H13" s="625">
        <f t="shared" si="0"/>
        <v>0</v>
      </c>
    </row>
    <row r="14" spans="1:8">
      <c r="A14" s="480">
        <v>8</v>
      </c>
      <c r="B14" s="495" t="s">
        <v>524</v>
      </c>
      <c r="C14" s="718">
        <v>32580227.471999999</v>
      </c>
      <c r="D14" s="718">
        <v>7899750.4268180002</v>
      </c>
      <c r="E14" s="718">
        <v>4318949.942481461</v>
      </c>
      <c r="F14" s="718"/>
      <c r="G14" s="664"/>
      <c r="H14" s="625">
        <f t="shared" si="0"/>
        <v>36161027.956336543</v>
      </c>
    </row>
    <row r="15" spans="1:8">
      <c r="A15" s="480">
        <v>9</v>
      </c>
      <c r="B15" s="495" t="s">
        <v>525</v>
      </c>
      <c r="C15" s="718">
        <v>32136773.159700003</v>
      </c>
      <c r="D15" s="718">
        <v>3109713.9154119999</v>
      </c>
      <c r="E15" s="718">
        <v>4148477.2020328552</v>
      </c>
      <c r="F15" s="718"/>
      <c r="G15" s="664"/>
      <c r="H15" s="625">
        <f t="shared" si="0"/>
        <v>31098009.873079143</v>
      </c>
    </row>
    <row r="16" spans="1:8" ht="25.5">
      <c r="A16" s="480">
        <v>10</v>
      </c>
      <c r="B16" s="495" t="s">
        <v>526</v>
      </c>
      <c r="C16" s="718">
        <v>7671.15</v>
      </c>
      <c r="D16" s="718">
        <v>0</v>
      </c>
      <c r="E16" s="718">
        <v>7671.15</v>
      </c>
      <c r="F16" s="718"/>
      <c r="G16" s="664"/>
      <c r="H16" s="625">
        <f t="shared" si="0"/>
        <v>0</v>
      </c>
    </row>
    <row r="17" spans="1:9">
      <c r="A17" s="480">
        <v>11</v>
      </c>
      <c r="B17" s="495" t="s">
        <v>527</v>
      </c>
      <c r="C17" s="718">
        <v>0</v>
      </c>
      <c r="D17" s="718">
        <v>0</v>
      </c>
      <c r="E17" s="718">
        <v>0</v>
      </c>
      <c r="F17" s="718"/>
      <c r="G17" s="664"/>
      <c r="H17" s="625">
        <f t="shared" si="0"/>
        <v>0</v>
      </c>
    </row>
    <row r="18" spans="1:9">
      <c r="A18" s="480">
        <v>12</v>
      </c>
      <c r="B18" s="495" t="s">
        <v>528</v>
      </c>
      <c r="C18" s="718">
        <v>841920.25</v>
      </c>
      <c r="D18" s="718">
        <v>5979242.0716999993</v>
      </c>
      <c r="E18" s="718">
        <v>718110.47042007395</v>
      </c>
      <c r="F18" s="718"/>
      <c r="G18" s="664"/>
      <c r="H18" s="625">
        <f t="shared" si="0"/>
        <v>6103051.8512799256</v>
      </c>
    </row>
    <row r="19" spans="1:9">
      <c r="A19" s="480">
        <v>13</v>
      </c>
      <c r="B19" s="495" t="s">
        <v>529</v>
      </c>
      <c r="C19" s="718">
        <v>0</v>
      </c>
      <c r="D19" s="718">
        <v>4226612.7228367543</v>
      </c>
      <c r="E19" s="718">
        <v>422730.71831579902</v>
      </c>
      <c r="F19" s="718"/>
      <c r="G19" s="664"/>
      <c r="H19" s="625">
        <f t="shared" si="0"/>
        <v>3803882.0045209555</v>
      </c>
    </row>
    <row r="20" spans="1:9">
      <c r="A20" s="480">
        <v>14</v>
      </c>
      <c r="B20" s="495" t="s">
        <v>530</v>
      </c>
      <c r="C20" s="718">
        <v>8129313.6894283332</v>
      </c>
      <c r="D20" s="718">
        <v>29642382.706011824</v>
      </c>
      <c r="E20" s="718">
        <v>3894174.6011196324</v>
      </c>
      <c r="F20" s="718"/>
      <c r="G20" s="664"/>
      <c r="H20" s="625">
        <f t="shared" si="0"/>
        <v>33877521.794320531</v>
      </c>
    </row>
    <row r="21" spans="1:9">
      <c r="A21" s="480">
        <v>15</v>
      </c>
      <c r="B21" s="495" t="s">
        <v>531</v>
      </c>
      <c r="C21" s="718">
        <v>0</v>
      </c>
      <c r="D21" s="718">
        <v>0</v>
      </c>
      <c r="E21" s="718">
        <v>0</v>
      </c>
      <c r="F21" s="718"/>
      <c r="G21" s="664"/>
      <c r="H21" s="625">
        <f t="shared" si="0"/>
        <v>0</v>
      </c>
    </row>
    <row r="22" spans="1:9">
      <c r="A22" s="480">
        <v>16</v>
      </c>
      <c r="B22" s="495" t="s">
        <v>532</v>
      </c>
      <c r="C22" s="718">
        <v>0</v>
      </c>
      <c r="D22" s="718">
        <v>0</v>
      </c>
      <c r="E22" s="718">
        <v>0</v>
      </c>
      <c r="F22" s="718"/>
      <c r="G22" s="664"/>
      <c r="H22" s="625">
        <f t="shared" si="0"/>
        <v>0</v>
      </c>
    </row>
    <row r="23" spans="1:9">
      <c r="A23" s="480">
        <v>17</v>
      </c>
      <c r="B23" s="495" t="s">
        <v>533</v>
      </c>
      <c r="C23" s="718">
        <v>4099605.5157999997</v>
      </c>
      <c r="D23" s="718">
        <v>13441002.547344483</v>
      </c>
      <c r="E23" s="718">
        <v>2116899.3149609091</v>
      </c>
      <c r="F23" s="718"/>
      <c r="G23" s="664"/>
      <c r="H23" s="625">
        <f t="shared" si="0"/>
        <v>15423708.748183575</v>
      </c>
    </row>
    <row r="24" spans="1:9">
      <c r="A24" s="480">
        <v>18</v>
      </c>
      <c r="B24" s="495" t="s">
        <v>534</v>
      </c>
      <c r="C24" s="718">
        <v>0</v>
      </c>
      <c r="D24" s="718">
        <v>0</v>
      </c>
      <c r="E24" s="718">
        <v>0</v>
      </c>
      <c r="F24" s="718"/>
      <c r="G24" s="664"/>
      <c r="H24" s="625">
        <f t="shared" si="0"/>
        <v>0</v>
      </c>
    </row>
    <row r="25" spans="1:9">
      <c r="A25" s="480">
        <v>19</v>
      </c>
      <c r="B25" s="495" t="s">
        <v>535</v>
      </c>
      <c r="C25" s="718">
        <v>0</v>
      </c>
      <c r="D25" s="718">
        <v>0</v>
      </c>
      <c r="E25" s="718">
        <v>0</v>
      </c>
      <c r="F25" s="718"/>
      <c r="G25" s="664"/>
      <c r="H25" s="625">
        <f t="shared" si="0"/>
        <v>0</v>
      </c>
    </row>
    <row r="26" spans="1:9">
      <c r="A26" s="480">
        <v>20</v>
      </c>
      <c r="B26" s="495" t="s">
        <v>536</v>
      </c>
      <c r="C26" s="718">
        <v>0</v>
      </c>
      <c r="D26" s="718">
        <v>6480117.3399999999</v>
      </c>
      <c r="E26" s="718">
        <v>5533.3717960017648</v>
      </c>
      <c r="F26" s="718"/>
      <c r="G26" s="664"/>
      <c r="H26" s="625">
        <f t="shared" si="0"/>
        <v>6474583.9682039982</v>
      </c>
      <c r="I26" s="386"/>
    </row>
    <row r="27" spans="1:9">
      <c r="A27" s="480">
        <v>21</v>
      </c>
      <c r="B27" s="495" t="s">
        <v>537</v>
      </c>
      <c r="C27" s="718">
        <v>0</v>
      </c>
      <c r="D27" s="718">
        <v>0</v>
      </c>
      <c r="E27" s="718">
        <v>0</v>
      </c>
      <c r="F27" s="718"/>
      <c r="G27" s="664"/>
      <c r="H27" s="625">
        <f t="shared" si="0"/>
        <v>0</v>
      </c>
      <c r="I27" s="386"/>
    </row>
    <row r="28" spans="1:9">
      <c r="A28" s="480">
        <v>22</v>
      </c>
      <c r="B28" s="495" t="s">
        <v>538</v>
      </c>
      <c r="C28" s="718">
        <v>0</v>
      </c>
      <c r="D28" s="718">
        <v>0</v>
      </c>
      <c r="E28" s="718">
        <v>0</v>
      </c>
      <c r="F28" s="718"/>
      <c r="G28" s="664"/>
      <c r="H28" s="625">
        <f t="shared" si="0"/>
        <v>0</v>
      </c>
      <c r="I28" s="386"/>
    </row>
    <row r="29" spans="1:9">
      <c r="A29" s="480">
        <v>23</v>
      </c>
      <c r="B29" s="495" t="s">
        <v>539</v>
      </c>
      <c r="C29" s="718">
        <v>9453987.2588</v>
      </c>
      <c r="D29" s="718">
        <v>1721550.7281559999</v>
      </c>
      <c r="E29" s="718">
        <v>2938495.3235642104</v>
      </c>
      <c r="F29" s="718"/>
      <c r="G29" s="664"/>
      <c r="H29" s="625">
        <f t="shared" si="0"/>
        <v>8237042.6633917894</v>
      </c>
      <c r="I29" s="386"/>
    </row>
    <row r="30" spans="1:9">
      <c r="A30" s="480">
        <v>24</v>
      </c>
      <c r="B30" s="495" t="s">
        <v>540</v>
      </c>
      <c r="C30" s="718">
        <v>4858762.7026000004</v>
      </c>
      <c r="D30" s="718">
        <v>722135.723</v>
      </c>
      <c r="E30" s="718">
        <v>1822907.3817344822</v>
      </c>
      <c r="F30" s="718"/>
      <c r="G30" s="664"/>
      <c r="H30" s="625">
        <f t="shared" si="0"/>
        <v>3757991.0438655186</v>
      </c>
      <c r="I30" s="386"/>
    </row>
    <row r="31" spans="1:9">
      <c r="A31" s="480">
        <v>25</v>
      </c>
      <c r="B31" s="495" t="s">
        <v>541</v>
      </c>
      <c r="C31" s="718">
        <v>0</v>
      </c>
      <c r="D31" s="718">
        <v>0</v>
      </c>
      <c r="E31" s="718">
        <v>0</v>
      </c>
      <c r="F31" s="718"/>
      <c r="G31" s="664"/>
      <c r="H31" s="625">
        <f t="shared" si="0"/>
        <v>0</v>
      </c>
      <c r="I31" s="386"/>
    </row>
    <row r="32" spans="1:9" ht="25.5">
      <c r="A32" s="480">
        <v>26</v>
      </c>
      <c r="B32" s="495" t="s">
        <v>542</v>
      </c>
      <c r="C32" s="718">
        <v>396143.50011000002</v>
      </c>
      <c r="D32" s="718">
        <v>7027637.8195869969</v>
      </c>
      <c r="E32" s="718">
        <v>281113.14222233504</v>
      </c>
      <c r="F32" s="718"/>
      <c r="G32" s="664"/>
      <c r="H32" s="625">
        <f t="shared" si="0"/>
        <v>7142668.1774746627</v>
      </c>
      <c r="I32" s="386"/>
    </row>
    <row r="33" spans="1:9">
      <c r="A33" s="480">
        <v>27</v>
      </c>
      <c r="B33" s="481" t="s">
        <v>99</v>
      </c>
      <c r="C33" s="718"/>
      <c r="D33" s="718">
        <v>278370095.15390003</v>
      </c>
      <c r="E33" s="718"/>
      <c r="F33" s="664">
        <v>0</v>
      </c>
      <c r="G33" s="664"/>
      <c r="H33" s="625">
        <f t="shared" si="0"/>
        <v>278370095.15390003</v>
      </c>
      <c r="I33" s="786">
        <f>H33-'18. Assets by Exposure classes'!H20</f>
        <v>0</v>
      </c>
    </row>
    <row r="34" spans="1:9">
      <c r="A34" s="480">
        <v>28</v>
      </c>
      <c r="B34" s="494" t="s">
        <v>66</v>
      </c>
      <c r="C34" s="663">
        <f>SUM(C7:C33)</f>
        <v>101053492.52562234</v>
      </c>
      <c r="D34" s="663">
        <f>SUM(D7:D33)</f>
        <v>370703462.83056611</v>
      </c>
      <c r="E34" s="663">
        <f>SUM(E7:E33)</f>
        <v>22565947.313144688</v>
      </c>
      <c r="F34" s="663">
        <f>SUM(F7:F33)</f>
        <v>0</v>
      </c>
      <c r="G34" s="663">
        <f>SUM(G7:G33)</f>
        <v>0</v>
      </c>
      <c r="H34" s="625">
        <f t="shared" si="0"/>
        <v>449191008.04304373</v>
      </c>
      <c r="I34" s="386"/>
    </row>
    <row r="35" spans="1:9">
      <c r="A35" s="386"/>
      <c r="B35" s="386"/>
      <c r="C35" s="621">
        <f>C34-'18. Assets by Exposure classes'!C21</f>
        <v>0</v>
      </c>
      <c r="D35" s="624">
        <f>D34-'18. Assets by Exposure classes'!D21</f>
        <v>0</v>
      </c>
      <c r="E35" s="621">
        <f>SUM(E7:E32)-'18. Assets by Exposure classes'!E22-E8+6178</f>
        <v>-0.19227943229543598</v>
      </c>
      <c r="F35" s="621">
        <f>SUM(F7:F31)-'18. Assets by Exposure classes'!F22</f>
        <v>0</v>
      </c>
      <c r="G35" s="624"/>
      <c r="H35" s="621">
        <f>H34-'18. Assets by Exposure classes'!H21</f>
        <v>0</v>
      </c>
      <c r="I35" s="386"/>
    </row>
    <row r="36" spans="1:9">
      <c r="A36" s="386"/>
      <c r="B36" s="387"/>
      <c r="C36" s="624"/>
      <c r="D36" s="624">
        <f>SUM(D7:D32)-'18. Assets by Exposure classes'!D22-D8-351+340262</f>
        <v>-0.35999997239559889</v>
      </c>
      <c r="E36" s="621"/>
      <c r="F36" s="624"/>
      <c r="G36" s="624"/>
      <c r="H36" s="624"/>
      <c r="I36" s="386"/>
    </row>
    <row r="37" spans="1:9">
      <c r="C37" s="684"/>
      <c r="D37" s="684"/>
      <c r="E37" s="684"/>
      <c r="F37" s="684"/>
      <c r="G37" s="684"/>
      <c r="H37" s="684"/>
    </row>
    <row r="38" spans="1:9">
      <c r="C38" s="684"/>
      <c r="D38" s="684"/>
      <c r="E38" s="684"/>
      <c r="F38" s="684"/>
      <c r="G38" s="684"/>
      <c r="H38" s="684"/>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7"/>
  <sheetViews>
    <sheetView showGridLines="0" zoomScale="80" zoomScaleNormal="80" workbookViewId="0">
      <selection activeCell="C13" sqref="C13"/>
    </sheetView>
  </sheetViews>
  <sheetFormatPr defaultColWidth="9.28515625" defaultRowHeight="12.75"/>
  <cols>
    <col min="1" max="1" width="11.7109375" style="379" bestFit="1" customWidth="1"/>
    <col min="2" max="2" width="108" style="379" bestFit="1" customWidth="1"/>
    <col min="3" max="3" width="35.5703125" style="379" customWidth="1"/>
    <col min="4" max="4" width="38.42578125" style="385" customWidth="1"/>
    <col min="5" max="16384" width="9.28515625" style="379"/>
  </cols>
  <sheetData>
    <row r="1" spans="1:4" ht="13.5">
      <c r="A1" s="378" t="s">
        <v>108</v>
      </c>
      <c r="B1" s="305" t="str">
        <f>Info!C2</f>
        <v>JSC "VTB Bank (Georgia)"</v>
      </c>
      <c r="D1" s="379"/>
    </row>
    <row r="2" spans="1:4">
      <c r="A2" s="380" t="s">
        <v>109</v>
      </c>
      <c r="B2" s="382">
        <f>Info!D2</f>
        <v>45747</v>
      </c>
      <c r="D2" s="379"/>
    </row>
    <row r="3" spans="1:4">
      <c r="A3" s="381" t="s">
        <v>543</v>
      </c>
      <c r="D3" s="379"/>
    </row>
    <row r="5" spans="1:4">
      <c r="A5" s="881" t="s">
        <v>880</v>
      </c>
      <c r="B5" s="881"/>
      <c r="C5" s="503" t="s">
        <v>562</v>
      </c>
      <c r="D5" s="503" t="s">
        <v>879</v>
      </c>
    </row>
    <row r="6" spans="1:4">
      <c r="A6" s="502">
        <v>1</v>
      </c>
      <c r="B6" s="496" t="s">
        <v>878</v>
      </c>
      <c r="C6" s="622">
        <v>23272413.562018886</v>
      </c>
      <c r="D6" s="724">
        <v>0</v>
      </c>
    </row>
    <row r="7" spans="1:4">
      <c r="A7" s="499">
        <v>2</v>
      </c>
      <c r="B7" s="496" t="s">
        <v>877</v>
      </c>
      <c r="C7" s="623">
        <f>SUM(C8:C9)</f>
        <v>0</v>
      </c>
      <c r="D7" s="725">
        <f>SUM(D8:D9)</f>
        <v>0</v>
      </c>
    </row>
    <row r="8" spans="1:4">
      <c r="A8" s="501">
        <v>2.1</v>
      </c>
      <c r="B8" s="500" t="s">
        <v>876</v>
      </c>
      <c r="C8" s="623"/>
      <c r="D8" s="725"/>
    </row>
    <row r="9" spans="1:4">
      <c r="A9" s="501">
        <v>2.2000000000000002</v>
      </c>
      <c r="B9" s="500" t="s">
        <v>875</v>
      </c>
      <c r="C9" s="623">
        <v>0</v>
      </c>
      <c r="D9" s="725"/>
    </row>
    <row r="10" spans="1:4">
      <c r="A10" s="502">
        <v>3</v>
      </c>
      <c r="B10" s="496" t="s">
        <v>874</v>
      </c>
      <c r="C10" s="623">
        <f>SUM(C11:C13)</f>
        <v>706466.25</v>
      </c>
      <c r="D10" s="725">
        <f>SUM(D11:D13)</f>
        <v>0</v>
      </c>
    </row>
    <row r="11" spans="1:4">
      <c r="A11" s="501">
        <v>3.1</v>
      </c>
      <c r="B11" s="500" t="s">
        <v>544</v>
      </c>
      <c r="C11" s="623"/>
      <c r="D11" s="725">
        <v>0</v>
      </c>
    </row>
    <row r="12" spans="1:4">
      <c r="A12" s="501">
        <v>3.2</v>
      </c>
      <c r="B12" s="500" t="s">
        <v>873</v>
      </c>
      <c r="C12" s="623">
        <v>706466.25</v>
      </c>
      <c r="D12" s="725"/>
    </row>
    <row r="13" spans="1:4">
      <c r="A13" s="501">
        <v>3.3</v>
      </c>
      <c r="B13" s="500" t="s">
        <v>872</v>
      </c>
      <c r="C13" s="623"/>
      <c r="D13" s="725"/>
    </row>
    <row r="14" spans="1:4">
      <c r="A14" s="499">
        <v>4</v>
      </c>
      <c r="B14" s="498" t="s">
        <v>871</v>
      </c>
      <c r="C14" s="623">
        <v>0</v>
      </c>
      <c r="D14" s="725"/>
    </row>
    <row r="15" spans="1:4">
      <c r="A15" s="497">
        <v>5</v>
      </c>
      <c r="B15" s="496" t="s">
        <v>870</v>
      </c>
      <c r="C15" s="622">
        <f>C6+C7-C10+C14</f>
        <v>22565947.312018886</v>
      </c>
      <c r="D15" s="724">
        <f>D6+D7-D10+D14</f>
        <v>0</v>
      </c>
    </row>
    <row r="16" spans="1:4">
      <c r="C16" s="620">
        <f>C15-SUM('19. Assets by Risk Sectors'!E7:E32)-SUM('19. Assets by Risk Sectors'!F7:F32)</f>
        <v>-1.1258013546466827E-3</v>
      </c>
    </row>
    <row r="17" spans="3:3">
      <c r="C17" s="629"/>
    </row>
  </sheetData>
  <mergeCells count="1">
    <mergeCell ref="A5:B5"/>
  </mergeCells>
  <pageMargins left="0.7" right="0.7" top="0.75" bottom="0.75" header="0.3" footer="0.3"/>
  <pageSetup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showGridLines="0" zoomScale="80" zoomScaleNormal="80" workbookViewId="0">
      <selection activeCell="C12" sqref="C12"/>
    </sheetView>
  </sheetViews>
  <sheetFormatPr defaultColWidth="9.28515625" defaultRowHeight="12.75"/>
  <cols>
    <col min="1" max="1" width="11.7109375" style="491" bestFit="1" customWidth="1"/>
    <col min="2" max="2" width="128.85546875" style="491" bestFit="1" customWidth="1"/>
    <col min="3" max="3" width="37" style="491" customWidth="1"/>
    <col min="4" max="4" width="50.5703125" style="491" customWidth="1"/>
    <col min="5" max="16384" width="9.28515625" style="491"/>
  </cols>
  <sheetData>
    <row r="1" spans="1:5" ht="13.5">
      <c r="A1" s="378" t="s">
        <v>108</v>
      </c>
      <c r="B1" s="305" t="str">
        <f>Info!C2</f>
        <v>JSC "VTB Bank (Georgia)"</v>
      </c>
    </row>
    <row r="2" spans="1:5">
      <c r="A2" s="380" t="s">
        <v>109</v>
      </c>
      <c r="B2" s="382">
        <f>Info!D2</f>
        <v>45747</v>
      </c>
    </row>
    <row r="3" spans="1:5">
      <c r="A3" s="381" t="s">
        <v>545</v>
      </c>
    </row>
    <row r="4" spans="1:5">
      <c r="A4" s="381"/>
    </row>
    <row r="5" spans="1:5" ht="15" customHeight="1">
      <c r="A5" s="882" t="s">
        <v>546</v>
      </c>
      <c r="B5" s="883"/>
      <c r="C5" s="886" t="s">
        <v>547</v>
      </c>
      <c r="D5" s="886" t="s">
        <v>548</v>
      </c>
    </row>
    <row r="6" spans="1:5">
      <c r="A6" s="884"/>
      <c r="B6" s="885"/>
      <c r="C6" s="886"/>
      <c r="D6" s="886"/>
    </row>
    <row r="7" spans="1:5">
      <c r="A7" s="494">
        <v>1</v>
      </c>
      <c r="B7" s="484" t="s">
        <v>549</v>
      </c>
      <c r="C7" s="720">
        <v>114155845.66242464</v>
      </c>
      <c r="D7" s="504"/>
    </row>
    <row r="8" spans="1:5">
      <c r="A8" s="481">
        <v>2</v>
      </c>
      <c r="B8" s="481" t="s">
        <v>550</v>
      </c>
      <c r="C8" s="718">
        <v>0</v>
      </c>
      <c r="D8" s="504"/>
    </row>
    <row r="9" spans="1:5">
      <c r="A9" s="481">
        <v>3</v>
      </c>
      <c r="B9" s="507" t="s">
        <v>551</v>
      </c>
      <c r="C9" s="718">
        <v>0</v>
      </c>
      <c r="D9" s="504"/>
    </row>
    <row r="10" spans="1:5">
      <c r="A10" s="481">
        <v>4</v>
      </c>
      <c r="B10" s="481" t="s">
        <v>552</v>
      </c>
      <c r="C10" s="718">
        <f>SUM(C11:C17)</f>
        <v>13102353</v>
      </c>
      <c r="D10" s="504"/>
    </row>
    <row r="11" spans="1:5">
      <c r="A11" s="481">
        <v>5</v>
      </c>
      <c r="B11" s="506" t="s">
        <v>881</v>
      </c>
      <c r="C11" s="718">
        <v>0</v>
      </c>
      <c r="D11" s="504"/>
    </row>
    <row r="12" spans="1:5">
      <c r="A12" s="481">
        <v>6</v>
      </c>
      <c r="B12" s="506" t="s">
        <v>553</v>
      </c>
      <c r="C12" s="718">
        <v>13102353</v>
      </c>
      <c r="D12" s="504"/>
    </row>
    <row r="13" spans="1:5">
      <c r="A13" s="481">
        <v>7</v>
      </c>
      <c r="B13" s="506" t="s">
        <v>556</v>
      </c>
      <c r="C13" s="718">
        <v>0</v>
      </c>
      <c r="D13" s="504"/>
      <c r="E13" s="661">
        <f>C13-'18. Assets by Exposure classes'!H11</f>
        <v>0</v>
      </c>
    </row>
    <row r="14" spans="1:5">
      <c r="A14" s="481">
        <v>8</v>
      </c>
      <c r="B14" s="506" t="s">
        <v>554</v>
      </c>
      <c r="C14" s="718">
        <v>0</v>
      </c>
      <c r="D14" s="481"/>
    </row>
    <row r="15" spans="1:5">
      <c r="A15" s="481">
        <v>9</v>
      </c>
      <c r="B15" s="506" t="s">
        <v>555</v>
      </c>
      <c r="C15" s="718">
        <v>0</v>
      </c>
      <c r="D15" s="481"/>
    </row>
    <row r="16" spans="1:5">
      <c r="A16" s="481">
        <v>10</v>
      </c>
      <c r="B16" s="506" t="s">
        <v>557</v>
      </c>
      <c r="C16" s="718">
        <v>0</v>
      </c>
      <c r="D16" s="481"/>
    </row>
    <row r="17" spans="1:4" ht="25.5">
      <c r="A17" s="481">
        <v>11</v>
      </c>
      <c r="B17" s="506" t="s">
        <v>558</v>
      </c>
      <c r="C17" s="718">
        <v>0</v>
      </c>
      <c r="D17" s="504"/>
    </row>
    <row r="18" spans="1:4">
      <c r="A18" s="494">
        <v>12</v>
      </c>
      <c r="B18" s="505" t="s">
        <v>559</v>
      </c>
      <c r="C18" s="720">
        <f>C7+C8+C9-C10</f>
        <v>101053492.66242464</v>
      </c>
      <c r="D18" s="504"/>
    </row>
    <row r="19" spans="1:4">
      <c r="C19" s="787">
        <f>C18-'18. Assets by Exposure classes'!C22</f>
        <v>0.1368023157119751</v>
      </c>
    </row>
    <row r="20" spans="1:4">
      <c r="C20" s="662"/>
    </row>
    <row r="21" spans="1:4">
      <c r="B21" s="378"/>
      <c r="C21" s="662"/>
    </row>
    <row r="22" spans="1:4">
      <c r="B22" s="380"/>
    </row>
    <row r="23" spans="1:4">
      <c r="B23" s="381"/>
    </row>
  </sheetData>
  <mergeCells count="3">
    <mergeCell ref="A5:B6"/>
    <mergeCell ref="C5:C6"/>
    <mergeCell ref="D5:D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28"/>
  <sheetViews>
    <sheetView showGridLines="0" zoomScale="70" zoomScaleNormal="70" workbookViewId="0">
      <selection activeCell="M9" sqref="M9:S14"/>
    </sheetView>
  </sheetViews>
  <sheetFormatPr defaultColWidth="9.28515625" defaultRowHeight="12.75"/>
  <cols>
    <col min="1" max="1" width="11.7109375" style="491" bestFit="1" customWidth="1"/>
    <col min="2" max="2" width="63.85546875" style="491" customWidth="1"/>
    <col min="3" max="3" width="17" style="491" bestFit="1" customWidth="1"/>
    <col min="4" max="18" width="22.28515625" style="491" customWidth="1"/>
    <col min="19" max="19" width="23.28515625" style="491" bestFit="1" customWidth="1"/>
    <col min="20" max="26" width="22.28515625" style="491" customWidth="1"/>
    <col min="27" max="27" width="23.28515625" style="491" bestFit="1" customWidth="1"/>
    <col min="28" max="28" width="20" style="491" customWidth="1"/>
    <col min="29" max="16384" width="9.28515625" style="491"/>
  </cols>
  <sheetData>
    <row r="1" spans="1:28" ht="13.5">
      <c r="A1" s="378" t="s">
        <v>108</v>
      </c>
      <c r="B1" s="305" t="str">
        <f>Info!C2</f>
        <v>JSC "VTB Bank (Georgia)"</v>
      </c>
    </row>
    <row r="2" spans="1:28">
      <c r="A2" s="380" t="s">
        <v>109</v>
      </c>
      <c r="B2" s="382">
        <f>Info!D2</f>
        <v>45747</v>
      </c>
      <c r="C2" s="492"/>
    </row>
    <row r="3" spans="1:28">
      <c r="A3" s="381" t="s">
        <v>560</v>
      </c>
      <c r="D3" s="798">
        <f>D8-'24. Risk Sector'!D33</f>
        <v>0</v>
      </c>
      <c r="H3" s="798">
        <f>H8-'24. Risk Sector'!E33</f>
        <v>0</v>
      </c>
      <c r="L3" s="798">
        <f>L8-'23. LTV'!L8</f>
        <v>0</v>
      </c>
    </row>
    <row r="4" spans="1:28">
      <c r="C4" s="798">
        <f>C8-'24. Risk Sector'!C33</f>
        <v>0</v>
      </c>
      <c r="D4" s="798">
        <f>D8-'23. LTV'!D8</f>
        <v>0</v>
      </c>
      <c r="H4" s="798">
        <f>H8-'23. LTV'!H8</f>
        <v>0</v>
      </c>
      <c r="L4" s="798">
        <f>L8-'24. Risk Sector'!F33</f>
        <v>0</v>
      </c>
    </row>
    <row r="5" spans="1:28" ht="15" customHeight="1">
      <c r="A5" s="887" t="s">
        <v>894</v>
      </c>
      <c r="B5" s="888"/>
      <c r="C5" s="893" t="s">
        <v>893</v>
      </c>
      <c r="D5" s="894"/>
      <c r="E5" s="894"/>
      <c r="F5" s="894"/>
      <c r="G5" s="894"/>
      <c r="H5" s="894"/>
      <c r="I5" s="894"/>
      <c r="J5" s="894"/>
      <c r="K5" s="894"/>
      <c r="L5" s="894"/>
      <c r="M5" s="894"/>
      <c r="N5" s="894"/>
      <c r="O5" s="894"/>
      <c r="P5" s="894"/>
      <c r="Q5" s="894"/>
      <c r="R5" s="894"/>
      <c r="S5" s="894"/>
      <c r="T5" s="522"/>
      <c r="U5" s="522"/>
      <c r="V5" s="522"/>
      <c r="W5" s="522"/>
      <c r="X5" s="522"/>
      <c r="Y5" s="522"/>
      <c r="Z5" s="522"/>
      <c r="AA5" s="521"/>
      <c r="AB5" s="512"/>
    </row>
    <row r="6" spans="1:28">
      <c r="A6" s="889"/>
      <c r="B6" s="890"/>
      <c r="C6" s="895" t="s">
        <v>66</v>
      </c>
      <c r="D6" s="897" t="s">
        <v>892</v>
      </c>
      <c r="E6" s="897"/>
      <c r="F6" s="897"/>
      <c r="G6" s="897"/>
      <c r="H6" s="898" t="s">
        <v>891</v>
      </c>
      <c r="I6" s="899"/>
      <c r="J6" s="899"/>
      <c r="K6" s="900"/>
      <c r="L6" s="520"/>
      <c r="M6" s="901" t="s">
        <v>890</v>
      </c>
      <c r="N6" s="901"/>
      <c r="O6" s="901"/>
      <c r="P6" s="901"/>
      <c r="Q6" s="901"/>
      <c r="R6" s="901"/>
      <c r="S6" s="877"/>
      <c r="T6" s="519"/>
      <c r="U6" s="880" t="s">
        <v>889</v>
      </c>
      <c r="V6" s="880"/>
      <c r="W6" s="880"/>
      <c r="X6" s="880"/>
      <c r="Y6" s="880"/>
      <c r="Z6" s="880"/>
      <c r="AA6" s="878"/>
      <c r="AB6" s="518"/>
    </row>
    <row r="7" spans="1:28" ht="25.5">
      <c r="A7" s="891"/>
      <c r="B7" s="892"/>
      <c r="C7" s="896"/>
      <c r="D7" s="517"/>
      <c r="E7" s="513" t="s">
        <v>561</v>
      </c>
      <c r="F7" s="488" t="s">
        <v>887</v>
      </c>
      <c r="G7" s="488" t="s">
        <v>888</v>
      </c>
      <c r="H7" s="516"/>
      <c r="I7" s="513" t="s">
        <v>561</v>
      </c>
      <c r="J7" s="488" t="s">
        <v>887</v>
      </c>
      <c r="K7" s="488" t="s">
        <v>888</v>
      </c>
      <c r="L7" s="515"/>
      <c r="M7" s="513" t="s">
        <v>561</v>
      </c>
      <c r="N7" s="488" t="s">
        <v>887</v>
      </c>
      <c r="O7" s="488" t="s">
        <v>886</v>
      </c>
      <c r="P7" s="488" t="s">
        <v>885</v>
      </c>
      <c r="Q7" s="488" t="s">
        <v>884</v>
      </c>
      <c r="R7" s="488" t="s">
        <v>883</v>
      </c>
      <c r="S7" s="488" t="s">
        <v>882</v>
      </c>
      <c r="T7" s="514"/>
      <c r="U7" s="513" t="s">
        <v>561</v>
      </c>
      <c r="V7" s="488" t="s">
        <v>887</v>
      </c>
      <c r="W7" s="488" t="s">
        <v>886</v>
      </c>
      <c r="X7" s="488" t="s">
        <v>885</v>
      </c>
      <c r="Y7" s="488" t="s">
        <v>884</v>
      </c>
      <c r="Z7" s="488" t="s">
        <v>883</v>
      </c>
      <c r="AA7" s="488" t="s">
        <v>882</v>
      </c>
      <c r="AB7" s="512"/>
    </row>
    <row r="8" spans="1:28">
      <c r="A8" s="511">
        <v>1</v>
      </c>
      <c r="B8" s="484" t="s">
        <v>562</v>
      </c>
      <c r="C8" s="692">
        <f>SUM(C9:C14)</f>
        <v>186487528.36698845</v>
      </c>
      <c r="D8" s="692">
        <f t="shared" ref="D8:S8" si="0">SUM(D9:D14)</f>
        <v>55352267.324856006</v>
      </c>
      <c r="E8" s="692">
        <f t="shared" si="0"/>
        <v>55352267.324856006</v>
      </c>
      <c r="F8" s="692">
        <f t="shared" si="0"/>
        <v>0</v>
      </c>
      <c r="G8" s="692">
        <f t="shared" si="0"/>
        <v>0</v>
      </c>
      <c r="H8" s="692">
        <f t="shared" si="0"/>
        <v>30081768.516510066</v>
      </c>
      <c r="I8" s="692">
        <f t="shared" si="0"/>
        <v>27906289.53242911</v>
      </c>
      <c r="J8" s="692">
        <f t="shared" si="0"/>
        <v>2175478.984080954</v>
      </c>
      <c r="K8" s="692">
        <f t="shared" si="0"/>
        <v>0</v>
      </c>
      <c r="L8" s="692">
        <f t="shared" si="0"/>
        <v>101053492.52562235</v>
      </c>
      <c r="M8" s="692">
        <f t="shared" si="0"/>
        <v>27170603.320600003</v>
      </c>
      <c r="N8" s="692">
        <f t="shared" si="0"/>
        <v>22631.84921</v>
      </c>
      <c r="O8" s="692">
        <f t="shared" si="0"/>
        <v>29734.949999999997</v>
      </c>
      <c r="P8" s="692">
        <f t="shared" si="0"/>
        <v>7227906.5594283333</v>
      </c>
      <c r="Q8" s="692">
        <f t="shared" si="0"/>
        <v>4988399.8126999987</v>
      </c>
      <c r="R8" s="692">
        <f t="shared" si="0"/>
        <v>61614216.033684023</v>
      </c>
      <c r="S8" s="692">
        <f t="shared" si="0"/>
        <v>0</v>
      </c>
      <c r="T8" s="692">
        <f t="shared" ref="T8:U8" si="1">SUM(T9:T14)</f>
        <v>0</v>
      </c>
      <c r="U8" s="692">
        <f t="shared" si="1"/>
        <v>0</v>
      </c>
      <c r="V8" s="480"/>
      <c r="W8" s="480"/>
      <c r="X8" s="480"/>
      <c r="Y8" s="480"/>
      <c r="Z8" s="480"/>
      <c r="AA8" s="480"/>
      <c r="AB8" s="508"/>
    </row>
    <row r="9" spans="1:28">
      <c r="A9" s="480">
        <v>1.1000000000000001</v>
      </c>
      <c r="B9" s="510" t="s">
        <v>563</v>
      </c>
      <c r="C9" s="753">
        <f t="shared" ref="C9:C14" si="2">SUM(D9,H9,L9,)</f>
        <v>0</v>
      </c>
      <c r="D9" s="718">
        <v>0</v>
      </c>
      <c r="E9" s="718"/>
      <c r="F9" s="718"/>
      <c r="G9" s="718"/>
      <c r="H9" s="718">
        <f>SUM(I9:K9)</f>
        <v>0</v>
      </c>
      <c r="I9" s="718"/>
      <c r="J9" s="718"/>
      <c r="K9" s="718"/>
      <c r="L9" s="718">
        <f>SUM(M9:S9)</f>
        <v>0</v>
      </c>
      <c r="M9" s="718"/>
      <c r="N9" s="718"/>
      <c r="O9" s="718"/>
      <c r="P9" s="718"/>
      <c r="Q9" s="718"/>
      <c r="R9" s="718"/>
      <c r="S9" s="754"/>
      <c r="T9" s="480"/>
      <c r="U9" s="480"/>
      <c r="V9" s="480"/>
      <c r="W9" s="480"/>
      <c r="X9" s="480"/>
      <c r="Y9" s="480"/>
      <c r="Z9" s="480"/>
      <c r="AA9" s="480"/>
      <c r="AB9" s="508"/>
    </row>
    <row r="10" spans="1:28">
      <c r="A10" s="480">
        <v>1.2</v>
      </c>
      <c r="B10" s="510" t="s">
        <v>564</v>
      </c>
      <c r="C10" s="753">
        <f t="shared" si="2"/>
        <v>0</v>
      </c>
      <c r="D10" s="718">
        <v>0</v>
      </c>
      <c r="E10" s="718"/>
      <c r="F10" s="718"/>
      <c r="G10" s="718"/>
      <c r="H10" s="718">
        <f t="shared" ref="H10:H14" si="3">SUM(I10:K10)</f>
        <v>0</v>
      </c>
      <c r="I10" s="718"/>
      <c r="J10" s="718"/>
      <c r="K10" s="718"/>
      <c r="L10" s="718">
        <f t="shared" ref="L10:L14" si="4">SUM(M10:S10)</f>
        <v>0</v>
      </c>
      <c r="M10" s="718"/>
      <c r="N10" s="718"/>
      <c r="O10" s="718"/>
      <c r="P10" s="718"/>
      <c r="Q10" s="718"/>
      <c r="R10" s="718"/>
      <c r="S10" s="754"/>
      <c r="T10" s="480"/>
      <c r="U10" s="480"/>
      <c r="V10" s="480"/>
      <c r="W10" s="480"/>
      <c r="X10" s="480"/>
      <c r="Y10" s="480"/>
      <c r="Z10" s="480"/>
      <c r="AA10" s="480"/>
      <c r="AB10" s="508"/>
    </row>
    <row r="11" spans="1:28">
      <c r="A11" s="480">
        <v>1.3</v>
      </c>
      <c r="B11" s="510" t="s">
        <v>565</v>
      </c>
      <c r="C11" s="753">
        <f t="shared" si="2"/>
        <v>0</v>
      </c>
      <c r="D11" s="718">
        <v>0</v>
      </c>
      <c r="E11" s="718"/>
      <c r="F11" s="718"/>
      <c r="G11" s="718"/>
      <c r="H11" s="718">
        <f t="shared" si="3"/>
        <v>0</v>
      </c>
      <c r="I11" s="718"/>
      <c r="J11" s="718"/>
      <c r="K11" s="718"/>
      <c r="L11" s="718">
        <f t="shared" si="4"/>
        <v>0</v>
      </c>
      <c r="M11" s="718"/>
      <c r="N11" s="718"/>
      <c r="O11" s="718"/>
      <c r="P11" s="718"/>
      <c r="Q11" s="718"/>
      <c r="R11" s="718"/>
      <c r="S11" s="754"/>
      <c r="T11" s="480"/>
      <c r="U11" s="480"/>
      <c r="V11" s="480"/>
      <c r="W11" s="480"/>
      <c r="X11" s="480"/>
      <c r="Y11" s="480"/>
      <c r="Z11" s="480"/>
      <c r="AA11" s="480"/>
      <c r="AB11" s="508"/>
    </row>
    <row r="12" spans="1:28">
      <c r="A12" s="480">
        <v>1.4</v>
      </c>
      <c r="B12" s="510" t="s">
        <v>566</v>
      </c>
      <c r="C12" s="753">
        <f t="shared" si="2"/>
        <v>340262.36</v>
      </c>
      <c r="D12" s="718">
        <v>340262.36</v>
      </c>
      <c r="E12" s="718">
        <v>340262.36</v>
      </c>
      <c r="F12" s="718">
        <v>0</v>
      </c>
      <c r="G12" s="718">
        <v>0</v>
      </c>
      <c r="H12" s="718">
        <f t="shared" si="3"/>
        <v>0</v>
      </c>
      <c r="I12" s="718">
        <v>0</v>
      </c>
      <c r="J12" s="718">
        <v>0</v>
      </c>
      <c r="K12" s="718">
        <v>0</v>
      </c>
      <c r="L12" s="718">
        <f t="shared" si="4"/>
        <v>0</v>
      </c>
      <c r="M12" s="718">
        <v>0</v>
      </c>
      <c r="N12" s="718">
        <v>0</v>
      </c>
      <c r="O12" s="718">
        <v>0</v>
      </c>
      <c r="P12" s="718">
        <v>0</v>
      </c>
      <c r="Q12" s="718">
        <v>0</v>
      </c>
      <c r="R12" s="718">
        <v>0</v>
      </c>
      <c r="S12" s="754">
        <v>0</v>
      </c>
      <c r="T12" s="480"/>
      <c r="U12" s="480"/>
      <c r="V12" s="480"/>
      <c r="W12" s="480"/>
      <c r="X12" s="480"/>
      <c r="Y12" s="480"/>
      <c r="Z12" s="480"/>
      <c r="AA12" s="480"/>
      <c r="AB12" s="508"/>
    </row>
    <row r="13" spans="1:28">
      <c r="A13" s="480">
        <v>1.5</v>
      </c>
      <c r="B13" s="510" t="s">
        <v>567</v>
      </c>
      <c r="C13" s="753">
        <f t="shared" si="2"/>
        <v>175606224.86729145</v>
      </c>
      <c r="D13" s="718">
        <v>47984988.30526901</v>
      </c>
      <c r="E13" s="718">
        <v>47984988.30526901</v>
      </c>
      <c r="F13" s="718">
        <v>0</v>
      </c>
      <c r="G13" s="718">
        <v>0</v>
      </c>
      <c r="H13" s="718">
        <f t="shared" si="3"/>
        <v>30081147.356510065</v>
      </c>
      <c r="I13" s="718">
        <v>27906289.53242911</v>
      </c>
      <c r="J13" s="718">
        <v>2174857.8240809538</v>
      </c>
      <c r="K13" s="718">
        <v>0</v>
      </c>
      <c r="L13" s="718">
        <f t="shared" si="4"/>
        <v>97540089.20551236</v>
      </c>
      <c r="M13" s="718">
        <v>26978270.069700003</v>
      </c>
      <c r="N13" s="718">
        <v>0</v>
      </c>
      <c r="O13" s="718">
        <v>0</v>
      </c>
      <c r="P13" s="718">
        <v>7214623.6194283329</v>
      </c>
      <c r="Q13" s="718">
        <v>3419636.3526999988</v>
      </c>
      <c r="R13" s="718">
        <v>59927559.163684025</v>
      </c>
      <c r="S13" s="754">
        <v>0</v>
      </c>
      <c r="T13" s="480"/>
      <c r="U13" s="480"/>
      <c r="V13" s="480"/>
      <c r="W13" s="480"/>
      <c r="X13" s="480"/>
      <c r="Y13" s="480"/>
      <c r="Z13" s="480"/>
      <c r="AA13" s="480"/>
      <c r="AB13" s="508"/>
    </row>
    <row r="14" spans="1:28">
      <c r="A14" s="480">
        <v>1.6</v>
      </c>
      <c r="B14" s="510" t="s">
        <v>568</v>
      </c>
      <c r="C14" s="753">
        <f t="shared" si="2"/>
        <v>10541041.139696999</v>
      </c>
      <c r="D14" s="718">
        <v>7027016.6595869986</v>
      </c>
      <c r="E14" s="718">
        <v>7027016.6595869986</v>
      </c>
      <c r="F14" s="718">
        <v>0</v>
      </c>
      <c r="G14" s="718">
        <v>0</v>
      </c>
      <c r="H14" s="718">
        <f t="shared" si="3"/>
        <v>621.16</v>
      </c>
      <c r="I14" s="718">
        <v>0</v>
      </c>
      <c r="J14" s="718">
        <v>621.16</v>
      </c>
      <c r="K14" s="718">
        <v>0</v>
      </c>
      <c r="L14" s="718">
        <f t="shared" si="4"/>
        <v>3513403.3201099997</v>
      </c>
      <c r="M14" s="718">
        <v>192333.25089999998</v>
      </c>
      <c r="N14" s="718">
        <v>22631.84921</v>
      </c>
      <c r="O14" s="718">
        <v>29734.949999999997</v>
      </c>
      <c r="P14" s="718">
        <v>13282.94</v>
      </c>
      <c r="Q14" s="718">
        <v>1568763.46</v>
      </c>
      <c r="R14" s="718">
        <v>1686656.8699999999</v>
      </c>
      <c r="S14" s="754">
        <v>0</v>
      </c>
      <c r="T14" s="480"/>
      <c r="U14" s="480"/>
      <c r="V14" s="480"/>
      <c r="W14" s="480"/>
      <c r="X14" s="480"/>
      <c r="Y14" s="480"/>
      <c r="Z14" s="480"/>
      <c r="AA14" s="480"/>
      <c r="AB14" s="508"/>
    </row>
    <row r="15" spans="1:28">
      <c r="A15" s="511">
        <v>2</v>
      </c>
      <c r="B15" s="494" t="s">
        <v>569</v>
      </c>
      <c r="C15" s="692">
        <f>SUM(C16:C21)</f>
        <v>0</v>
      </c>
      <c r="D15" s="692">
        <f>SUM(D16:D21)</f>
        <v>0</v>
      </c>
      <c r="E15" s="692">
        <f t="shared" ref="E15:S15" si="5">SUM(E16:E21)</f>
        <v>0</v>
      </c>
      <c r="F15" s="692">
        <f t="shared" si="5"/>
        <v>0</v>
      </c>
      <c r="G15" s="692">
        <f t="shared" si="5"/>
        <v>0</v>
      </c>
      <c r="H15" s="692">
        <f t="shared" si="5"/>
        <v>0</v>
      </c>
      <c r="I15" s="692">
        <f t="shared" si="5"/>
        <v>0</v>
      </c>
      <c r="J15" s="692">
        <f t="shared" si="5"/>
        <v>0</v>
      </c>
      <c r="K15" s="692">
        <f t="shared" si="5"/>
        <v>0</v>
      </c>
      <c r="L15" s="692">
        <f t="shared" si="5"/>
        <v>0</v>
      </c>
      <c r="M15" s="692">
        <f t="shared" si="5"/>
        <v>0</v>
      </c>
      <c r="N15" s="692">
        <f t="shared" si="5"/>
        <v>0</v>
      </c>
      <c r="O15" s="692">
        <f t="shared" si="5"/>
        <v>0</v>
      </c>
      <c r="P15" s="692">
        <f t="shared" si="5"/>
        <v>0</v>
      </c>
      <c r="Q15" s="692">
        <f t="shared" si="5"/>
        <v>0</v>
      </c>
      <c r="R15" s="692">
        <f t="shared" si="5"/>
        <v>0</v>
      </c>
      <c r="S15" s="692">
        <f t="shared" si="5"/>
        <v>0</v>
      </c>
      <c r="T15" s="692">
        <f t="shared" ref="T15:U15" si="6">SUM(T16:T21)</f>
        <v>0</v>
      </c>
      <c r="U15" s="692">
        <f t="shared" si="6"/>
        <v>0</v>
      </c>
      <c r="V15" s="480"/>
      <c r="W15" s="480"/>
      <c r="X15" s="480"/>
      <c r="Y15" s="480"/>
      <c r="Z15" s="480"/>
      <c r="AA15" s="480"/>
      <c r="AB15" s="508"/>
    </row>
    <row r="16" spans="1:28">
      <c r="A16" s="480">
        <v>2.1</v>
      </c>
      <c r="B16" s="510" t="s">
        <v>563</v>
      </c>
      <c r="C16" s="755"/>
      <c r="D16" s="754"/>
      <c r="E16" s="754"/>
      <c r="F16" s="754"/>
      <c r="G16" s="754"/>
      <c r="H16" s="754"/>
      <c r="I16" s="754"/>
      <c r="J16" s="754"/>
      <c r="K16" s="754"/>
      <c r="L16" s="754"/>
      <c r="M16" s="754"/>
      <c r="N16" s="754"/>
      <c r="O16" s="754"/>
      <c r="P16" s="754"/>
      <c r="Q16" s="754"/>
      <c r="R16" s="754"/>
      <c r="S16" s="754"/>
      <c r="T16" s="480"/>
      <c r="U16" s="480"/>
      <c r="V16" s="480"/>
      <c r="W16" s="480"/>
      <c r="X16" s="480"/>
      <c r="Y16" s="480"/>
      <c r="Z16" s="480"/>
      <c r="AA16" s="480"/>
      <c r="AB16" s="508"/>
    </row>
    <row r="17" spans="1:28">
      <c r="A17" s="480">
        <v>2.2000000000000002</v>
      </c>
      <c r="B17" s="510" t="s">
        <v>564</v>
      </c>
      <c r="C17" s="755"/>
      <c r="D17" s="754"/>
      <c r="E17" s="754"/>
      <c r="F17" s="754"/>
      <c r="G17" s="754"/>
      <c r="H17" s="754"/>
      <c r="I17" s="754"/>
      <c r="J17" s="754"/>
      <c r="K17" s="754"/>
      <c r="L17" s="754"/>
      <c r="M17" s="754"/>
      <c r="N17" s="754"/>
      <c r="O17" s="754"/>
      <c r="P17" s="754"/>
      <c r="Q17" s="754"/>
      <c r="R17" s="754"/>
      <c r="S17" s="754"/>
      <c r="T17" s="480"/>
      <c r="U17" s="480"/>
      <c r="V17" s="480"/>
      <c r="W17" s="480"/>
      <c r="X17" s="480"/>
      <c r="Y17" s="480"/>
      <c r="Z17" s="480"/>
      <c r="AA17" s="480"/>
      <c r="AB17" s="508"/>
    </row>
    <row r="18" spans="1:28">
      <c r="A18" s="480">
        <v>2.2999999999999998</v>
      </c>
      <c r="B18" s="510" t="s">
        <v>565</v>
      </c>
      <c r="C18" s="755"/>
      <c r="D18" s="754"/>
      <c r="E18" s="754"/>
      <c r="F18" s="754"/>
      <c r="G18" s="754"/>
      <c r="H18" s="754"/>
      <c r="I18" s="754"/>
      <c r="J18" s="754"/>
      <c r="K18" s="754"/>
      <c r="L18" s="754"/>
      <c r="M18" s="754"/>
      <c r="N18" s="754"/>
      <c r="O18" s="754"/>
      <c r="P18" s="754"/>
      <c r="Q18" s="754"/>
      <c r="R18" s="754"/>
      <c r="S18" s="754"/>
      <c r="T18" s="480"/>
      <c r="U18" s="480"/>
      <c r="V18" s="480"/>
      <c r="W18" s="480"/>
      <c r="X18" s="480"/>
      <c r="Y18" s="480"/>
      <c r="Z18" s="480"/>
      <c r="AA18" s="480"/>
      <c r="AB18" s="508"/>
    </row>
    <row r="19" spans="1:28">
      <c r="A19" s="480">
        <v>2.4</v>
      </c>
      <c r="B19" s="510" t="s">
        <v>566</v>
      </c>
      <c r="C19" s="755"/>
      <c r="D19" s="754"/>
      <c r="E19" s="754"/>
      <c r="F19" s="754"/>
      <c r="G19" s="754"/>
      <c r="H19" s="754"/>
      <c r="I19" s="754"/>
      <c r="J19" s="754"/>
      <c r="K19" s="754"/>
      <c r="L19" s="754"/>
      <c r="M19" s="754"/>
      <c r="N19" s="754"/>
      <c r="O19" s="754"/>
      <c r="P19" s="754"/>
      <c r="Q19" s="754"/>
      <c r="R19" s="754"/>
      <c r="S19" s="754"/>
      <c r="T19" s="480"/>
      <c r="U19" s="480"/>
      <c r="V19" s="480"/>
      <c r="W19" s="480"/>
      <c r="X19" s="480"/>
      <c r="Y19" s="480"/>
      <c r="Z19" s="480"/>
      <c r="AA19" s="480"/>
      <c r="AB19" s="508"/>
    </row>
    <row r="20" spans="1:28">
      <c r="A20" s="480">
        <v>2.5</v>
      </c>
      <c r="B20" s="510" t="s">
        <v>567</v>
      </c>
      <c r="C20" s="755"/>
      <c r="D20" s="754"/>
      <c r="E20" s="754"/>
      <c r="F20" s="754"/>
      <c r="G20" s="754"/>
      <c r="H20" s="754"/>
      <c r="I20" s="754"/>
      <c r="J20" s="754"/>
      <c r="K20" s="754"/>
      <c r="L20" s="754"/>
      <c r="M20" s="754"/>
      <c r="N20" s="754"/>
      <c r="O20" s="754"/>
      <c r="P20" s="754"/>
      <c r="Q20" s="754"/>
      <c r="R20" s="754"/>
      <c r="S20" s="754"/>
      <c r="T20" s="480"/>
      <c r="U20" s="480"/>
      <c r="V20" s="480"/>
      <c r="W20" s="480"/>
      <c r="X20" s="480"/>
      <c r="Y20" s="480"/>
      <c r="Z20" s="480"/>
      <c r="AA20" s="480"/>
      <c r="AB20" s="508"/>
    </row>
    <row r="21" spans="1:28">
      <c r="A21" s="480">
        <v>2.6</v>
      </c>
      <c r="B21" s="510" t="s">
        <v>568</v>
      </c>
      <c r="C21" s="755"/>
      <c r="D21" s="754"/>
      <c r="E21" s="754"/>
      <c r="F21" s="754"/>
      <c r="G21" s="754"/>
      <c r="H21" s="754"/>
      <c r="I21" s="754"/>
      <c r="J21" s="754"/>
      <c r="K21" s="754"/>
      <c r="L21" s="754"/>
      <c r="M21" s="754"/>
      <c r="N21" s="754"/>
      <c r="O21" s="754"/>
      <c r="P21" s="754"/>
      <c r="Q21" s="754"/>
      <c r="R21" s="754"/>
      <c r="S21" s="754"/>
      <c r="T21" s="480"/>
      <c r="U21" s="480"/>
      <c r="V21" s="480"/>
      <c r="W21" s="480"/>
      <c r="X21" s="480"/>
      <c r="Y21" s="480"/>
      <c r="Z21" s="480"/>
      <c r="AA21" s="480"/>
      <c r="AB21" s="508"/>
    </row>
    <row r="22" spans="1:28">
      <c r="A22" s="511">
        <v>3</v>
      </c>
      <c r="B22" s="484" t="s">
        <v>570</v>
      </c>
      <c r="C22" s="692">
        <f>SUM(C23:C28)</f>
        <v>216018.87580000001</v>
      </c>
      <c r="D22" s="692">
        <f>SUM(D23:D28)</f>
        <v>216018.87580000001</v>
      </c>
      <c r="E22" s="692">
        <f t="shared" ref="E22:S22" si="7">SUM(E23:E28)</f>
        <v>0</v>
      </c>
      <c r="F22" s="693">
        <f t="shared" si="7"/>
        <v>0</v>
      </c>
      <c r="G22" s="692">
        <f t="shared" si="7"/>
        <v>0</v>
      </c>
      <c r="H22" s="693">
        <f t="shared" si="7"/>
        <v>0</v>
      </c>
      <c r="I22" s="693">
        <f t="shared" si="7"/>
        <v>0</v>
      </c>
      <c r="J22" s="693">
        <f t="shared" si="7"/>
        <v>0</v>
      </c>
      <c r="K22" s="693">
        <f t="shared" si="7"/>
        <v>0</v>
      </c>
      <c r="L22" s="692">
        <f t="shared" si="7"/>
        <v>0</v>
      </c>
      <c r="M22" s="693">
        <f t="shared" si="7"/>
        <v>0</v>
      </c>
      <c r="N22" s="693">
        <f t="shared" si="7"/>
        <v>0</v>
      </c>
      <c r="O22" s="693">
        <f t="shared" si="7"/>
        <v>0</v>
      </c>
      <c r="P22" s="693">
        <f t="shared" si="7"/>
        <v>0</v>
      </c>
      <c r="Q22" s="693">
        <f t="shared" si="7"/>
        <v>0</v>
      </c>
      <c r="R22" s="693">
        <f t="shared" si="7"/>
        <v>0</v>
      </c>
      <c r="S22" s="693">
        <f t="shared" si="7"/>
        <v>0</v>
      </c>
      <c r="T22" s="693">
        <f t="shared" ref="T22:U22" si="8">SUM(T23:T28)</f>
        <v>0</v>
      </c>
      <c r="U22" s="692">
        <f t="shared" si="8"/>
        <v>0</v>
      </c>
      <c r="V22" s="509"/>
      <c r="W22" s="509"/>
      <c r="X22" s="509"/>
      <c r="Y22" s="509"/>
      <c r="Z22" s="509"/>
      <c r="AA22" s="509"/>
      <c r="AB22" s="508"/>
    </row>
    <row r="23" spans="1:28">
      <c r="A23" s="480">
        <v>3.1</v>
      </c>
      <c r="B23" s="510" t="s">
        <v>563</v>
      </c>
      <c r="C23" s="756"/>
      <c r="D23" s="757"/>
      <c r="E23" s="758"/>
      <c r="F23" s="758"/>
      <c r="G23" s="758"/>
      <c r="H23" s="757"/>
      <c r="I23" s="758"/>
      <c r="J23" s="758"/>
      <c r="K23" s="758"/>
      <c r="L23" s="757"/>
      <c r="M23" s="758"/>
      <c r="N23" s="758"/>
      <c r="O23" s="758"/>
      <c r="P23" s="758"/>
      <c r="Q23" s="758"/>
      <c r="R23" s="758"/>
      <c r="S23" s="759"/>
      <c r="T23" s="484"/>
      <c r="U23" s="509"/>
      <c r="V23" s="509"/>
      <c r="W23" s="509"/>
      <c r="X23" s="509"/>
      <c r="Y23" s="509"/>
      <c r="Z23" s="509"/>
      <c r="AA23" s="509"/>
      <c r="AB23" s="508"/>
    </row>
    <row r="24" spans="1:28">
      <c r="A24" s="480">
        <v>3.2</v>
      </c>
      <c r="B24" s="510" t="s">
        <v>564</v>
      </c>
      <c r="C24" s="756"/>
      <c r="D24" s="757"/>
      <c r="E24" s="758"/>
      <c r="F24" s="758"/>
      <c r="G24" s="758"/>
      <c r="H24" s="757"/>
      <c r="I24" s="758"/>
      <c r="J24" s="758"/>
      <c r="K24" s="758"/>
      <c r="L24" s="757"/>
      <c r="M24" s="758"/>
      <c r="N24" s="758"/>
      <c r="O24" s="758"/>
      <c r="P24" s="758"/>
      <c r="Q24" s="758"/>
      <c r="R24" s="758"/>
      <c r="S24" s="759"/>
      <c r="T24" s="484"/>
      <c r="U24" s="509"/>
      <c r="V24" s="509"/>
      <c r="W24" s="509"/>
      <c r="X24" s="509"/>
      <c r="Y24" s="509"/>
      <c r="Z24" s="509"/>
      <c r="AA24" s="509"/>
      <c r="AB24" s="508"/>
    </row>
    <row r="25" spans="1:28">
      <c r="A25" s="480">
        <v>3.3</v>
      </c>
      <c r="B25" s="510" t="s">
        <v>565</v>
      </c>
      <c r="C25" s="756"/>
      <c r="D25" s="757"/>
      <c r="E25" s="758"/>
      <c r="F25" s="758"/>
      <c r="G25" s="758"/>
      <c r="H25" s="757"/>
      <c r="I25" s="758"/>
      <c r="J25" s="758"/>
      <c r="K25" s="758"/>
      <c r="L25" s="757"/>
      <c r="M25" s="758"/>
      <c r="N25" s="758"/>
      <c r="O25" s="758"/>
      <c r="P25" s="758"/>
      <c r="Q25" s="758"/>
      <c r="R25" s="758"/>
      <c r="S25" s="759"/>
      <c r="T25" s="484"/>
      <c r="U25" s="509"/>
      <c r="V25" s="509"/>
      <c r="W25" s="509"/>
      <c r="X25" s="509"/>
      <c r="Y25" s="509"/>
      <c r="Z25" s="509"/>
      <c r="AA25" s="509"/>
      <c r="AB25" s="508"/>
    </row>
    <row r="26" spans="1:28">
      <c r="A26" s="480">
        <v>3.4</v>
      </c>
      <c r="B26" s="510" t="s">
        <v>566</v>
      </c>
      <c r="C26" s="753">
        <f>SUM(D26,H26,L26,)</f>
        <v>0</v>
      </c>
      <c r="D26" s="757">
        <v>0</v>
      </c>
      <c r="E26" s="758"/>
      <c r="F26" s="758"/>
      <c r="G26" s="758"/>
      <c r="H26" s="757">
        <v>0</v>
      </c>
      <c r="I26" s="758"/>
      <c r="J26" s="758"/>
      <c r="K26" s="758"/>
      <c r="L26" s="757">
        <v>0</v>
      </c>
      <c r="M26" s="758"/>
      <c r="N26" s="758"/>
      <c r="O26" s="758"/>
      <c r="P26" s="758"/>
      <c r="Q26" s="758"/>
      <c r="R26" s="758"/>
      <c r="S26" s="759"/>
      <c r="T26" s="484"/>
      <c r="U26" s="509"/>
      <c r="V26" s="509"/>
      <c r="W26" s="509"/>
      <c r="X26" s="509"/>
      <c r="Y26" s="509"/>
      <c r="Z26" s="509"/>
      <c r="AA26" s="509"/>
      <c r="AB26" s="508"/>
    </row>
    <row r="27" spans="1:28">
      <c r="A27" s="480">
        <v>3.5</v>
      </c>
      <c r="B27" s="510" t="s">
        <v>567</v>
      </c>
      <c r="C27" s="753">
        <f>SUM(D27,H27,L27,)</f>
        <v>216018.87580000001</v>
      </c>
      <c r="D27" s="776">
        <v>216018.87580000001</v>
      </c>
      <c r="E27" s="758"/>
      <c r="F27" s="758"/>
      <c r="G27" s="758"/>
      <c r="H27" s="757">
        <v>0</v>
      </c>
      <c r="I27" s="758"/>
      <c r="J27" s="758"/>
      <c r="K27" s="758"/>
      <c r="L27" s="757">
        <v>0</v>
      </c>
      <c r="M27" s="758"/>
      <c r="N27" s="758"/>
      <c r="O27" s="758"/>
      <c r="P27" s="758"/>
      <c r="Q27" s="758"/>
      <c r="R27" s="758"/>
      <c r="S27" s="759"/>
      <c r="T27" s="484"/>
      <c r="U27" s="509"/>
      <c r="V27" s="509"/>
      <c r="W27" s="509"/>
      <c r="X27" s="509"/>
      <c r="Y27" s="509"/>
      <c r="Z27" s="509">
        <v>0</v>
      </c>
      <c r="AA27" s="509"/>
      <c r="AB27" s="508"/>
    </row>
    <row r="28" spans="1:28">
      <c r="A28" s="480">
        <v>3.6</v>
      </c>
      <c r="B28" s="510" t="s">
        <v>568</v>
      </c>
      <c r="C28" s="755"/>
      <c r="D28" s="760"/>
      <c r="E28" s="759"/>
      <c r="F28" s="759"/>
      <c r="G28" s="759"/>
      <c r="H28" s="760"/>
      <c r="I28" s="759"/>
      <c r="J28" s="759"/>
      <c r="K28" s="759"/>
      <c r="L28" s="760"/>
      <c r="M28" s="759"/>
      <c r="N28" s="759"/>
      <c r="O28" s="759"/>
      <c r="P28" s="759"/>
      <c r="Q28" s="759"/>
      <c r="R28" s="759"/>
      <c r="S28" s="759"/>
      <c r="T28" s="484"/>
      <c r="U28" s="509"/>
      <c r="V28" s="509"/>
      <c r="W28" s="509"/>
      <c r="X28" s="509"/>
      <c r="Y28" s="509"/>
      <c r="Z28" s="509"/>
      <c r="AA28" s="509"/>
      <c r="AB28" s="50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38"/>
  <sheetViews>
    <sheetView showGridLines="0" topLeftCell="I1" zoomScale="60" zoomScaleNormal="60" workbookViewId="0">
      <selection activeCell="M8" sqref="M8:S21"/>
    </sheetView>
  </sheetViews>
  <sheetFormatPr defaultColWidth="9.28515625" defaultRowHeight="12.75"/>
  <cols>
    <col min="1" max="1" width="11.7109375" style="491" bestFit="1" customWidth="1"/>
    <col min="2" max="2" width="90.28515625" style="491" bestFit="1" customWidth="1"/>
    <col min="3" max="3" width="20.28515625" style="491" customWidth="1"/>
    <col min="4" max="4" width="22.28515625" style="491" customWidth="1"/>
    <col min="5" max="7" width="17.140625" style="491" customWidth="1"/>
    <col min="8" max="8" width="22.28515625" style="491" customWidth="1"/>
    <col min="9" max="10" width="17.140625" style="491" customWidth="1"/>
    <col min="11" max="27" width="22.28515625" style="491" customWidth="1"/>
    <col min="28" max="16384" width="9.28515625" style="491"/>
  </cols>
  <sheetData>
    <row r="1" spans="1:27" ht="13.5">
      <c r="A1" s="378" t="s">
        <v>108</v>
      </c>
      <c r="B1" s="305" t="str">
        <f>Info!C2</f>
        <v>JSC "VTB Bank (Georgia)"</v>
      </c>
    </row>
    <row r="2" spans="1:27">
      <c r="A2" s="380" t="s">
        <v>109</v>
      </c>
      <c r="B2" s="382">
        <f>Info!D2</f>
        <v>45747</v>
      </c>
    </row>
    <row r="3" spans="1:27">
      <c r="A3" s="381" t="s">
        <v>571</v>
      </c>
      <c r="C3" s="493"/>
    </row>
    <row r="4" spans="1:27" ht="13.5" thickBot="1">
      <c r="A4" s="381"/>
      <c r="B4" s="493"/>
      <c r="C4" s="798">
        <f>C8-'24. Risk Sector'!C33</f>
        <v>0</v>
      </c>
    </row>
    <row r="5" spans="1:27" s="523" customFormat="1" ht="13.5" customHeight="1">
      <c r="A5" s="906" t="s">
        <v>901</v>
      </c>
      <c r="B5" s="907"/>
      <c r="C5" s="903" t="s">
        <v>572</v>
      </c>
      <c r="D5" s="904"/>
      <c r="E5" s="904"/>
      <c r="F5" s="904"/>
      <c r="G5" s="904"/>
      <c r="H5" s="904"/>
      <c r="I5" s="904"/>
      <c r="J5" s="904"/>
      <c r="K5" s="904"/>
      <c r="L5" s="904"/>
      <c r="M5" s="904"/>
      <c r="N5" s="904"/>
      <c r="O5" s="904"/>
      <c r="P5" s="904"/>
      <c r="Q5" s="904"/>
      <c r="R5" s="904"/>
      <c r="S5" s="904"/>
      <c r="T5" s="904"/>
      <c r="U5" s="904"/>
      <c r="V5" s="904"/>
      <c r="W5" s="904"/>
      <c r="X5" s="904"/>
      <c r="Y5" s="904"/>
      <c r="Z5" s="904"/>
      <c r="AA5" s="905"/>
    </row>
    <row r="6" spans="1:27" s="523" customFormat="1" ht="12" customHeight="1">
      <c r="A6" s="908"/>
      <c r="B6" s="909"/>
      <c r="C6" s="913" t="s">
        <v>66</v>
      </c>
      <c r="D6" s="912" t="s">
        <v>892</v>
      </c>
      <c r="E6" s="912"/>
      <c r="F6" s="912"/>
      <c r="G6" s="912"/>
      <c r="H6" s="898" t="s">
        <v>891</v>
      </c>
      <c r="I6" s="899"/>
      <c r="J6" s="899"/>
      <c r="K6" s="899"/>
      <c r="L6" s="519"/>
      <c r="M6" s="880" t="s">
        <v>890</v>
      </c>
      <c r="N6" s="880"/>
      <c r="O6" s="880"/>
      <c r="P6" s="880"/>
      <c r="Q6" s="880"/>
      <c r="R6" s="880"/>
      <c r="S6" s="878"/>
      <c r="T6" s="519"/>
      <c r="U6" s="880" t="s">
        <v>889</v>
      </c>
      <c r="V6" s="880"/>
      <c r="W6" s="880"/>
      <c r="X6" s="880"/>
      <c r="Y6" s="880"/>
      <c r="Z6" s="880"/>
      <c r="AA6" s="902"/>
    </row>
    <row r="7" spans="1:27" s="523" customFormat="1" ht="38.25">
      <c r="A7" s="910"/>
      <c r="B7" s="911"/>
      <c r="C7" s="914"/>
      <c r="D7" s="517"/>
      <c r="E7" s="513" t="s">
        <v>561</v>
      </c>
      <c r="F7" s="488" t="s">
        <v>887</v>
      </c>
      <c r="G7" s="488" t="s">
        <v>888</v>
      </c>
      <c r="H7" s="544"/>
      <c r="I7" s="513" t="s">
        <v>561</v>
      </c>
      <c r="J7" s="488" t="s">
        <v>887</v>
      </c>
      <c r="K7" s="488" t="s">
        <v>888</v>
      </c>
      <c r="L7" s="514"/>
      <c r="M7" s="513" t="s">
        <v>561</v>
      </c>
      <c r="N7" s="488" t="s">
        <v>900</v>
      </c>
      <c r="O7" s="488" t="s">
        <v>899</v>
      </c>
      <c r="P7" s="488" t="s">
        <v>898</v>
      </c>
      <c r="Q7" s="488" t="s">
        <v>897</v>
      </c>
      <c r="R7" s="488" t="s">
        <v>896</v>
      </c>
      <c r="S7" s="488" t="s">
        <v>882</v>
      </c>
      <c r="T7" s="514"/>
      <c r="U7" s="513" t="s">
        <v>561</v>
      </c>
      <c r="V7" s="488" t="s">
        <v>900</v>
      </c>
      <c r="W7" s="488" t="s">
        <v>899</v>
      </c>
      <c r="X7" s="488" t="s">
        <v>898</v>
      </c>
      <c r="Y7" s="488" t="s">
        <v>897</v>
      </c>
      <c r="Z7" s="488" t="s">
        <v>896</v>
      </c>
      <c r="AA7" s="488" t="s">
        <v>882</v>
      </c>
    </row>
    <row r="8" spans="1:27">
      <c r="A8" s="543">
        <v>1</v>
      </c>
      <c r="B8" s="542" t="s">
        <v>562</v>
      </c>
      <c r="C8" s="799">
        <f t="shared" ref="C8:C15" si="0">SUM(E8:F8,I8:J8,M8:S8)</f>
        <v>186487528.36698842</v>
      </c>
      <c r="D8" s="718">
        <v>55352267.324855998</v>
      </c>
      <c r="E8" s="718">
        <v>55352267.324855998</v>
      </c>
      <c r="F8" s="718">
        <v>0</v>
      </c>
      <c r="G8" s="718">
        <v>0</v>
      </c>
      <c r="H8" s="718">
        <f t="shared" ref="H8:H15" si="1">SUM(I8:K8)</f>
        <v>30081768.516510066</v>
      </c>
      <c r="I8" s="718">
        <v>27906289.53242911</v>
      </c>
      <c r="J8" s="718">
        <v>2175478.984080954</v>
      </c>
      <c r="K8" s="718">
        <v>0</v>
      </c>
      <c r="L8" s="718">
        <f t="shared" ref="L8:L15" si="2">SUM(M8:S8)</f>
        <v>101053492.52562234</v>
      </c>
      <c r="M8" s="718">
        <v>27170603.320600003</v>
      </c>
      <c r="N8" s="718">
        <v>22631.84921</v>
      </c>
      <c r="O8" s="718">
        <v>29734.949999999997</v>
      </c>
      <c r="P8" s="718">
        <v>7227906.5594283324</v>
      </c>
      <c r="Q8" s="718">
        <v>4988399.8126999959</v>
      </c>
      <c r="R8" s="718">
        <v>61614216.033684015</v>
      </c>
      <c r="S8" s="719">
        <v>0</v>
      </c>
      <c r="T8" s="754"/>
      <c r="U8" s="754"/>
      <c r="V8" s="754"/>
      <c r="W8" s="754"/>
      <c r="X8" s="754"/>
      <c r="Y8" s="754"/>
      <c r="Z8" s="754"/>
      <c r="AA8" s="761"/>
    </row>
    <row r="9" spans="1:27">
      <c r="A9" s="540">
        <v>1.1000000000000001</v>
      </c>
      <c r="B9" s="541" t="s">
        <v>573</v>
      </c>
      <c r="C9" s="762">
        <f t="shared" si="0"/>
        <v>183600552.97712845</v>
      </c>
      <c r="D9" s="718">
        <v>53419608.003086001</v>
      </c>
      <c r="E9" s="718">
        <v>53419608.003086001</v>
      </c>
      <c r="F9" s="718">
        <v>0</v>
      </c>
      <c r="G9" s="718">
        <v>0</v>
      </c>
      <c r="H9" s="718">
        <f t="shared" si="1"/>
        <v>30081147.356510065</v>
      </c>
      <c r="I9" s="718">
        <v>27906289.53242911</v>
      </c>
      <c r="J9" s="718">
        <v>2174857.8240809538</v>
      </c>
      <c r="K9" s="718">
        <v>0</v>
      </c>
      <c r="L9" s="718">
        <f t="shared" si="2"/>
        <v>100099797.61753234</v>
      </c>
      <c r="M9" s="718">
        <v>27127778.586720005</v>
      </c>
      <c r="N9" s="718">
        <v>0</v>
      </c>
      <c r="O9" s="718">
        <v>0</v>
      </c>
      <c r="P9" s="718">
        <v>7214623.6194283329</v>
      </c>
      <c r="Q9" s="718">
        <v>4978266.2626999989</v>
      </c>
      <c r="R9" s="718">
        <v>60779129.14868401</v>
      </c>
      <c r="S9" s="719">
        <v>0</v>
      </c>
      <c r="T9" s="754"/>
      <c r="U9" s="754"/>
      <c r="V9" s="754"/>
      <c r="W9" s="754"/>
      <c r="X9" s="754"/>
      <c r="Y9" s="754"/>
      <c r="Z9" s="754"/>
      <c r="AA9" s="761"/>
    </row>
    <row r="10" spans="1:27">
      <c r="A10" s="538" t="s">
        <v>157</v>
      </c>
      <c r="B10" s="539" t="s">
        <v>574</v>
      </c>
      <c r="C10" s="762">
        <f t="shared" si="0"/>
        <v>173503256.31355542</v>
      </c>
      <c r="D10" s="718">
        <v>47335070.304712996</v>
      </c>
      <c r="E10" s="718">
        <v>47335070.304712996</v>
      </c>
      <c r="F10" s="718">
        <v>0</v>
      </c>
      <c r="G10" s="718">
        <v>0</v>
      </c>
      <c r="H10" s="718">
        <f t="shared" si="1"/>
        <v>30081147.356510065</v>
      </c>
      <c r="I10" s="718">
        <v>27906289.53242911</v>
      </c>
      <c r="J10" s="718">
        <v>2174857.8240809538</v>
      </c>
      <c r="K10" s="718">
        <v>0</v>
      </c>
      <c r="L10" s="718">
        <f t="shared" si="2"/>
        <v>96087038.652332351</v>
      </c>
      <c r="M10" s="718">
        <v>27127778.586720005</v>
      </c>
      <c r="N10" s="718">
        <v>0</v>
      </c>
      <c r="O10" s="718">
        <v>0</v>
      </c>
      <c r="P10" s="718">
        <v>7170617.779428333</v>
      </c>
      <c r="Q10" s="718">
        <v>4882311.4246000051</v>
      </c>
      <c r="R10" s="718">
        <v>56906330.861584008</v>
      </c>
      <c r="S10" s="719">
        <v>0</v>
      </c>
      <c r="T10" s="754"/>
      <c r="U10" s="754"/>
      <c r="V10" s="754"/>
      <c r="W10" s="754"/>
      <c r="X10" s="754"/>
      <c r="Y10" s="754"/>
      <c r="Z10" s="754"/>
      <c r="AA10" s="761"/>
    </row>
    <row r="11" spans="1:27">
      <c r="A11" s="537" t="s">
        <v>575</v>
      </c>
      <c r="B11" s="536" t="s">
        <v>576</v>
      </c>
      <c r="C11" s="762">
        <f t="shared" si="0"/>
        <v>60426615.412597902</v>
      </c>
      <c r="D11" s="718">
        <v>17442563.127599992</v>
      </c>
      <c r="E11" s="718">
        <v>17442563.127599996</v>
      </c>
      <c r="F11" s="718">
        <v>0</v>
      </c>
      <c r="G11" s="718">
        <v>0</v>
      </c>
      <c r="H11" s="718">
        <f t="shared" si="1"/>
        <v>11099856.479165576</v>
      </c>
      <c r="I11" s="718">
        <v>8924998.655084623</v>
      </c>
      <c r="J11" s="718">
        <v>2174857.8240809538</v>
      </c>
      <c r="K11" s="718">
        <v>0</v>
      </c>
      <c r="L11" s="718">
        <f t="shared" si="2"/>
        <v>31884195.805832334</v>
      </c>
      <c r="M11" s="718">
        <v>18201856.878920004</v>
      </c>
      <c r="N11" s="718">
        <v>0</v>
      </c>
      <c r="O11" s="718">
        <v>0</v>
      </c>
      <c r="P11" s="718">
        <v>2012114.689428333</v>
      </c>
      <c r="Q11" s="718">
        <v>1297209.4825999998</v>
      </c>
      <c r="R11" s="718">
        <v>10373014.754883999</v>
      </c>
      <c r="S11" s="719">
        <v>0</v>
      </c>
      <c r="T11" s="754"/>
      <c r="U11" s="754"/>
      <c r="V11" s="754"/>
      <c r="W11" s="754"/>
      <c r="X11" s="754"/>
      <c r="Y11" s="754"/>
      <c r="Z11" s="754"/>
      <c r="AA11" s="761"/>
    </row>
    <row r="12" spans="1:27">
      <c r="A12" s="537" t="s">
        <v>577</v>
      </c>
      <c r="B12" s="536" t="s">
        <v>578</v>
      </c>
      <c r="C12" s="762">
        <f t="shared" si="0"/>
        <v>13938354.264818</v>
      </c>
      <c r="D12" s="718">
        <v>8837448.8948180005</v>
      </c>
      <c r="E12" s="718">
        <v>8837448.8948180005</v>
      </c>
      <c r="F12" s="718">
        <v>0</v>
      </c>
      <c r="G12" s="718">
        <v>0</v>
      </c>
      <c r="H12" s="718">
        <f t="shared" si="1"/>
        <v>990923.36999999988</v>
      </c>
      <c r="I12" s="718">
        <v>990923.36999999988</v>
      </c>
      <c r="J12" s="718">
        <v>0</v>
      </c>
      <c r="K12" s="718">
        <v>0</v>
      </c>
      <c r="L12" s="718">
        <f t="shared" si="2"/>
        <v>4109982</v>
      </c>
      <c r="M12" s="718">
        <v>2604294</v>
      </c>
      <c r="N12" s="718">
        <v>0</v>
      </c>
      <c r="O12" s="718">
        <v>0</v>
      </c>
      <c r="P12" s="718">
        <v>0</v>
      </c>
      <c r="Q12" s="718">
        <v>0</v>
      </c>
      <c r="R12" s="718">
        <v>1505688</v>
      </c>
      <c r="S12" s="719">
        <v>0</v>
      </c>
      <c r="T12" s="754"/>
      <c r="U12" s="754"/>
      <c r="V12" s="754"/>
      <c r="W12" s="754"/>
      <c r="X12" s="754"/>
      <c r="Y12" s="754"/>
      <c r="Z12" s="754"/>
      <c r="AA12" s="761"/>
    </row>
    <row r="13" spans="1:27">
      <c r="A13" s="537" t="s">
        <v>579</v>
      </c>
      <c r="B13" s="536" t="s">
        <v>580</v>
      </c>
      <c r="C13" s="762">
        <f t="shared" si="0"/>
        <v>16660721.656200001</v>
      </c>
      <c r="D13" s="718">
        <v>358191.56719999999</v>
      </c>
      <c r="E13" s="718">
        <v>358191.56719999999</v>
      </c>
      <c r="F13" s="718">
        <v>0</v>
      </c>
      <c r="G13" s="718">
        <v>0</v>
      </c>
      <c r="H13" s="718">
        <f t="shared" si="1"/>
        <v>4549364.96</v>
      </c>
      <c r="I13" s="718">
        <v>4549364.96</v>
      </c>
      <c r="J13" s="718">
        <v>0</v>
      </c>
      <c r="K13" s="718">
        <v>0</v>
      </c>
      <c r="L13" s="718">
        <f t="shared" si="2"/>
        <v>11753165.129000001</v>
      </c>
      <c r="M13" s="718">
        <v>0</v>
      </c>
      <c r="N13" s="718">
        <v>0</v>
      </c>
      <c r="O13" s="718">
        <v>0</v>
      </c>
      <c r="P13" s="718">
        <v>0</v>
      </c>
      <c r="Q13" s="718">
        <v>0</v>
      </c>
      <c r="R13" s="718">
        <v>11753165.129000001</v>
      </c>
      <c r="S13" s="719">
        <v>0</v>
      </c>
      <c r="T13" s="754"/>
      <c r="U13" s="754"/>
      <c r="V13" s="754"/>
      <c r="W13" s="754"/>
      <c r="X13" s="754"/>
      <c r="Y13" s="754"/>
      <c r="Z13" s="754"/>
      <c r="AA13" s="761"/>
    </row>
    <row r="14" spans="1:27">
      <c r="A14" s="537" t="s">
        <v>581</v>
      </c>
      <c r="B14" s="536" t="s">
        <v>582</v>
      </c>
      <c r="C14" s="762">
        <f t="shared" si="0"/>
        <v>82477564.979939491</v>
      </c>
      <c r="D14" s="718">
        <v>20696866.715095002</v>
      </c>
      <c r="E14" s="718">
        <v>20696866.715095002</v>
      </c>
      <c r="F14" s="718">
        <v>0</v>
      </c>
      <c r="G14" s="718">
        <v>0</v>
      </c>
      <c r="H14" s="718">
        <f t="shared" si="1"/>
        <v>13441002.547344483</v>
      </c>
      <c r="I14" s="718">
        <v>13441002.547344483</v>
      </c>
      <c r="J14" s="718">
        <v>0</v>
      </c>
      <c r="K14" s="718">
        <v>0</v>
      </c>
      <c r="L14" s="718">
        <f t="shared" si="2"/>
        <v>48339695.717500001</v>
      </c>
      <c r="M14" s="718">
        <v>6321627.7078</v>
      </c>
      <c r="N14" s="718">
        <v>0</v>
      </c>
      <c r="O14" s="718">
        <v>0</v>
      </c>
      <c r="P14" s="718">
        <v>5158503.09</v>
      </c>
      <c r="Q14" s="718">
        <v>3585101.9419999979</v>
      </c>
      <c r="R14" s="718">
        <v>33274462.977699999</v>
      </c>
      <c r="S14" s="719">
        <v>0</v>
      </c>
      <c r="T14" s="754"/>
      <c r="U14" s="754"/>
      <c r="V14" s="754"/>
      <c r="W14" s="754"/>
      <c r="X14" s="754"/>
      <c r="Y14" s="754"/>
      <c r="Z14" s="754"/>
      <c r="AA14" s="761"/>
    </row>
    <row r="15" spans="1:27">
      <c r="A15" s="535">
        <v>1.2</v>
      </c>
      <c r="B15" s="533" t="s">
        <v>895</v>
      </c>
      <c r="C15" s="762">
        <f t="shared" si="0"/>
        <v>21746528.672299709</v>
      </c>
      <c r="D15" s="718">
        <v>283059.26681900874</v>
      </c>
      <c r="E15" s="718">
        <v>283059.26681900874</v>
      </c>
      <c r="F15" s="718">
        <v>0</v>
      </c>
      <c r="G15" s="718">
        <v>0</v>
      </c>
      <c r="H15" s="718">
        <f t="shared" si="1"/>
        <v>2846213.9135469333</v>
      </c>
      <c r="I15" s="718">
        <v>2837235.5609580916</v>
      </c>
      <c r="J15" s="718">
        <v>8978.352588841557</v>
      </c>
      <c r="K15" s="718">
        <v>0</v>
      </c>
      <c r="L15" s="718">
        <f t="shared" si="2"/>
        <v>18617255.491933767</v>
      </c>
      <c r="M15" s="718">
        <v>3565583.3986334358</v>
      </c>
      <c r="N15" s="718">
        <v>0</v>
      </c>
      <c r="O15" s="718">
        <v>0</v>
      </c>
      <c r="P15" s="718">
        <v>410184.72692434001</v>
      </c>
      <c r="Q15" s="718">
        <v>1824710.6229256522</v>
      </c>
      <c r="R15" s="718">
        <v>12816776.74345034</v>
      </c>
      <c r="S15" s="719">
        <v>0</v>
      </c>
      <c r="T15" s="754"/>
      <c r="U15" s="754"/>
      <c r="V15" s="754"/>
      <c r="W15" s="754"/>
      <c r="X15" s="754"/>
      <c r="Y15" s="754"/>
      <c r="Z15" s="754"/>
      <c r="AA15" s="761"/>
    </row>
    <row r="16" spans="1:27">
      <c r="A16" s="534">
        <v>1.3</v>
      </c>
      <c r="B16" s="533" t="s">
        <v>583</v>
      </c>
      <c r="C16" s="763">
        <v>0</v>
      </c>
      <c r="D16" s="764"/>
      <c r="E16" s="764"/>
      <c r="F16" s="764"/>
      <c r="G16" s="764"/>
      <c r="H16" s="764"/>
      <c r="I16" s="764"/>
      <c r="J16" s="764"/>
      <c r="K16" s="764"/>
      <c r="L16" s="764"/>
      <c r="M16" s="764"/>
      <c r="N16" s="764"/>
      <c r="O16" s="764"/>
      <c r="P16" s="764"/>
      <c r="Q16" s="764"/>
      <c r="R16" s="764"/>
      <c r="S16" s="764"/>
      <c r="T16" s="765"/>
      <c r="U16" s="765"/>
      <c r="V16" s="765"/>
      <c r="W16" s="765"/>
      <c r="X16" s="765"/>
      <c r="Y16" s="765"/>
      <c r="Z16" s="765"/>
      <c r="AA16" s="766"/>
    </row>
    <row r="17" spans="1:27" s="523" customFormat="1" ht="25.5">
      <c r="A17" s="531" t="s">
        <v>584</v>
      </c>
      <c r="B17" s="532" t="s">
        <v>585</v>
      </c>
      <c r="C17" s="762">
        <f>SUM(E17:F17,I17:J17,M17:S17)</f>
        <v>167066433.63993344</v>
      </c>
      <c r="D17" s="719">
        <v>38493785.653791003</v>
      </c>
      <c r="E17" s="719">
        <v>38493785.653791003</v>
      </c>
      <c r="F17" s="719">
        <v>0</v>
      </c>
      <c r="G17" s="719">
        <v>0</v>
      </c>
      <c r="H17" s="718">
        <f t="shared" ref="H17:H22" si="3">SUM(I17:K17)</f>
        <v>30081147.356510065</v>
      </c>
      <c r="I17" s="719">
        <v>27906289.53242911</v>
      </c>
      <c r="J17" s="719">
        <v>2174857.8240809538</v>
      </c>
      <c r="K17" s="719">
        <v>0</v>
      </c>
      <c r="L17" s="718">
        <f>SUM(M17:S17)</f>
        <v>98491500.629632354</v>
      </c>
      <c r="M17" s="719">
        <v>27127778.586720005</v>
      </c>
      <c r="N17" s="719">
        <v>0</v>
      </c>
      <c r="O17" s="719">
        <v>0</v>
      </c>
      <c r="P17" s="719">
        <v>7170617.779428333</v>
      </c>
      <c r="Q17" s="719">
        <v>4674816.0033999905</v>
      </c>
      <c r="R17" s="719">
        <v>59518288.260084026</v>
      </c>
      <c r="S17" s="719">
        <v>0</v>
      </c>
      <c r="T17" s="767"/>
      <c r="U17" s="767"/>
      <c r="V17" s="767"/>
      <c r="W17" s="767"/>
      <c r="X17" s="767"/>
      <c r="Y17" s="767"/>
      <c r="Z17" s="767"/>
      <c r="AA17" s="768"/>
    </row>
    <row r="18" spans="1:27" s="523" customFormat="1" ht="25.5">
      <c r="A18" s="528" t="s">
        <v>586</v>
      </c>
      <c r="B18" s="529" t="s">
        <v>587</v>
      </c>
      <c r="C18" s="762">
        <f>SUM(E18:F18,I18:J18,M18:S18)</f>
        <v>151867533.33599097</v>
      </c>
      <c r="D18" s="719">
        <v>32428810.035418004</v>
      </c>
      <c r="E18" s="719">
        <v>32428810.035418</v>
      </c>
      <c r="F18" s="719">
        <v>0</v>
      </c>
      <c r="G18" s="719">
        <v>0</v>
      </c>
      <c r="H18" s="718">
        <f t="shared" si="3"/>
        <v>30067037.415840626</v>
      </c>
      <c r="I18" s="719">
        <v>25775242.084884625</v>
      </c>
      <c r="J18" s="719">
        <v>4291795.3309559999</v>
      </c>
      <c r="K18" s="719">
        <v>0</v>
      </c>
      <c r="L18" s="718">
        <f>SUM(M18:S18)</f>
        <v>89371685.884732351</v>
      </c>
      <c r="M18" s="719">
        <v>25658257.665420003</v>
      </c>
      <c r="N18" s="719">
        <v>0</v>
      </c>
      <c r="O18" s="719">
        <v>0</v>
      </c>
      <c r="P18" s="719">
        <v>6015367.9029283328</v>
      </c>
      <c r="Q18" s="719">
        <v>4614287.605900012</v>
      </c>
      <c r="R18" s="719">
        <v>53083772.710483998</v>
      </c>
      <c r="S18" s="719">
        <v>0</v>
      </c>
      <c r="T18" s="767"/>
      <c r="U18" s="767"/>
      <c r="V18" s="767"/>
      <c r="W18" s="767"/>
      <c r="X18" s="767"/>
      <c r="Y18" s="767"/>
      <c r="Z18" s="767"/>
      <c r="AA18" s="768"/>
    </row>
    <row r="19" spans="1:27" s="523" customFormat="1">
      <c r="A19" s="531" t="s">
        <v>588</v>
      </c>
      <c r="B19" s="530" t="s">
        <v>589</v>
      </c>
      <c r="C19" s="762">
        <f>SUM(E19:F19,I19:J19,M19:S19)</f>
        <v>389843784.62219161</v>
      </c>
      <c r="D19" s="719">
        <v>167657628.32800901</v>
      </c>
      <c r="E19" s="719">
        <v>167657628.32800901</v>
      </c>
      <c r="F19" s="719">
        <v>0</v>
      </c>
      <c r="G19" s="719">
        <v>0</v>
      </c>
      <c r="H19" s="718">
        <f t="shared" si="3"/>
        <v>31315835.533114899</v>
      </c>
      <c r="I19" s="719">
        <v>27310728.628270872</v>
      </c>
      <c r="J19" s="719">
        <v>4005106.9048440279</v>
      </c>
      <c r="K19" s="719">
        <v>0</v>
      </c>
      <c r="L19" s="718">
        <f>SUM(M19:S19)</f>
        <v>190870320.76106769</v>
      </c>
      <c r="M19" s="719">
        <v>37361836.265680015</v>
      </c>
      <c r="N19" s="719">
        <v>0</v>
      </c>
      <c r="O19" s="719">
        <v>0</v>
      </c>
      <c r="P19" s="719">
        <v>6092214.8391716667</v>
      </c>
      <c r="Q19" s="719">
        <v>18951109.216500014</v>
      </c>
      <c r="R19" s="719">
        <v>128465160.43971601</v>
      </c>
      <c r="S19" s="719">
        <v>0</v>
      </c>
      <c r="T19" s="767"/>
      <c r="U19" s="767"/>
      <c r="V19" s="767"/>
      <c r="W19" s="767"/>
      <c r="X19" s="767"/>
      <c r="Y19" s="767"/>
      <c r="Z19" s="767"/>
      <c r="AA19" s="768"/>
    </row>
    <row r="20" spans="1:27" s="523" customFormat="1">
      <c r="A20" s="528" t="s">
        <v>590</v>
      </c>
      <c r="B20" s="529" t="s">
        <v>591</v>
      </c>
      <c r="C20" s="762">
        <f>SUM(E20:F20,I20:J20,M20:S20)</f>
        <v>223399654.13210905</v>
      </c>
      <c r="D20" s="719">
        <v>157975625.05268201</v>
      </c>
      <c r="E20" s="719">
        <v>157975625.05268201</v>
      </c>
      <c r="F20" s="719">
        <v>0</v>
      </c>
      <c r="G20" s="719">
        <v>0</v>
      </c>
      <c r="H20" s="718">
        <f t="shared" si="3"/>
        <v>10478292.980659377</v>
      </c>
      <c r="I20" s="719">
        <v>6473186.0758153759</v>
      </c>
      <c r="J20" s="719">
        <v>4005106.904844</v>
      </c>
      <c r="K20" s="719">
        <v>0</v>
      </c>
      <c r="L20" s="718">
        <f>SUM(M20:S20)</f>
        <v>54945736.098767661</v>
      </c>
      <c r="M20" s="719">
        <v>11318151.034879997</v>
      </c>
      <c r="N20" s="719">
        <v>0</v>
      </c>
      <c r="O20" s="719">
        <v>0</v>
      </c>
      <c r="P20" s="719">
        <v>1685468.551571667</v>
      </c>
      <c r="Q20" s="719">
        <v>16551875.517399997</v>
      </c>
      <c r="R20" s="719">
        <v>25390240.994915999</v>
      </c>
      <c r="S20" s="719">
        <v>0</v>
      </c>
      <c r="T20" s="767"/>
      <c r="U20" s="767"/>
      <c r="V20" s="767"/>
      <c r="W20" s="767"/>
      <c r="X20" s="767"/>
      <c r="Y20" s="767"/>
      <c r="Z20" s="767"/>
      <c r="AA20" s="768"/>
    </row>
    <row r="21" spans="1:27" s="523" customFormat="1">
      <c r="A21" s="527">
        <v>1.4</v>
      </c>
      <c r="B21" s="526" t="s">
        <v>680</v>
      </c>
      <c r="C21" s="762">
        <f>SUM(E21:F21,I21:J21,M21:S21)</f>
        <v>44648.72</v>
      </c>
      <c r="D21" s="719">
        <v>44648.72</v>
      </c>
      <c r="E21" s="719">
        <v>44648.72</v>
      </c>
      <c r="F21" s="719">
        <v>0</v>
      </c>
      <c r="G21" s="719">
        <v>0</v>
      </c>
      <c r="H21" s="718">
        <f t="shared" si="3"/>
        <v>0</v>
      </c>
      <c r="I21" s="719">
        <v>0</v>
      </c>
      <c r="J21" s="719">
        <v>0</v>
      </c>
      <c r="K21" s="719">
        <v>0</v>
      </c>
      <c r="L21" s="719">
        <v>0</v>
      </c>
      <c r="M21" s="719">
        <v>0</v>
      </c>
      <c r="N21" s="719">
        <v>0</v>
      </c>
      <c r="O21" s="719">
        <v>0</v>
      </c>
      <c r="P21" s="719">
        <v>0</v>
      </c>
      <c r="Q21" s="719">
        <v>0</v>
      </c>
      <c r="R21" s="719">
        <v>0</v>
      </c>
      <c r="S21" s="719">
        <v>0</v>
      </c>
      <c r="T21" s="767"/>
      <c r="U21" s="767"/>
      <c r="V21" s="767"/>
      <c r="W21" s="767"/>
      <c r="X21" s="767"/>
      <c r="Y21" s="767"/>
      <c r="Z21" s="767"/>
      <c r="AA21" s="768"/>
    </row>
    <row r="22" spans="1:27" s="523" customFormat="1" ht="13.5" thickBot="1">
      <c r="A22" s="525">
        <v>1.5</v>
      </c>
      <c r="B22" s="524" t="s">
        <v>681</v>
      </c>
      <c r="C22" s="769">
        <v>0</v>
      </c>
      <c r="D22" s="770">
        <v>0</v>
      </c>
      <c r="E22" s="770">
        <v>0</v>
      </c>
      <c r="F22" s="770">
        <v>0</v>
      </c>
      <c r="G22" s="770">
        <v>0</v>
      </c>
      <c r="H22" s="718">
        <f t="shared" si="3"/>
        <v>0</v>
      </c>
      <c r="I22" s="770">
        <v>0</v>
      </c>
      <c r="J22" s="770">
        <v>0</v>
      </c>
      <c r="K22" s="770">
        <v>0</v>
      </c>
      <c r="L22" s="770">
        <v>0</v>
      </c>
      <c r="M22" s="770">
        <v>0</v>
      </c>
      <c r="N22" s="770">
        <v>0</v>
      </c>
      <c r="O22" s="770">
        <v>0</v>
      </c>
      <c r="P22" s="770">
        <v>0</v>
      </c>
      <c r="Q22" s="770">
        <v>0</v>
      </c>
      <c r="R22" s="770">
        <v>0</v>
      </c>
      <c r="S22" s="770">
        <v>0</v>
      </c>
      <c r="T22" s="771"/>
      <c r="U22" s="771"/>
      <c r="V22" s="771"/>
      <c r="W22" s="771"/>
      <c r="X22" s="771"/>
      <c r="Y22" s="771"/>
      <c r="Z22" s="771"/>
      <c r="AA22" s="772"/>
    </row>
    <row r="23" spans="1:27">
      <c r="C23" s="798">
        <f>SUM(E8:F8,I8:J8,M8:S8)-C8</f>
        <v>0</v>
      </c>
      <c r="D23" s="798">
        <f>D8-E8</f>
        <v>0</v>
      </c>
      <c r="L23" s="798">
        <f>L8-'19. Assets by Risk Sectors'!C34</f>
        <v>0</v>
      </c>
    </row>
    <row r="24" spans="1:27">
      <c r="C24" s="798">
        <f>SUM(E9:F9,I9:J9,M9:S9)-C9</f>
        <v>0</v>
      </c>
      <c r="D24" s="798">
        <f t="shared" ref="D24:D37" si="4">D9-E9</f>
        <v>0</v>
      </c>
      <c r="L24" s="798">
        <f>SUM(M8:S8)-L8</f>
        <v>0</v>
      </c>
    </row>
    <row r="25" spans="1:27">
      <c r="C25" s="798">
        <f t="shared" ref="C25:C37" si="5">SUM(E10:F10,I10:J10,M10:S10)-C10</f>
        <v>0</v>
      </c>
      <c r="D25" s="798">
        <f t="shared" si="4"/>
        <v>0</v>
      </c>
      <c r="L25" s="798">
        <f t="shared" ref="L25:L38" si="6">SUM(M9:S9)-L9</f>
        <v>0</v>
      </c>
    </row>
    <row r="26" spans="1:27">
      <c r="C26" s="798">
        <f t="shared" si="5"/>
        <v>0</v>
      </c>
      <c r="D26" s="798">
        <f t="shared" si="4"/>
        <v>0</v>
      </c>
      <c r="L26" s="798">
        <f t="shared" si="6"/>
        <v>0</v>
      </c>
    </row>
    <row r="27" spans="1:27">
      <c r="C27" s="798">
        <f t="shared" si="5"/>
        <v>0</v>
      </c>
      <c r="D27" s="798">
        <f t="shared" si="4"/>
        <v>0</v>
      </c>
      <c r="L27" s="798">
        <f t="shared" si="6"/>
        <v>0</v>
      </c>
    </row>
    <row r="28" spans="1:27">
      <c r="C28" s="798">
        <f t="shared" si="5"/>
        <v>0</v>
      </c>
      <c r="D28" s="798">
        <f t="shared" si="4"/>
        <v>0</v>
      </c>
      <c r="L28" s="798">
        <f t="shared" si="6"/>
        <v>0</v>
      </c>
    </row>
    <row r="29" spans="1:27">
      <c r="C29" s="798">
        <f t="shared" si="5"/>
        <v>0</v>
      </c>
      <c r="D29" s="798">
        <f t="shared" si="4"/>
        <v>0</v>
      </c>
      <c r="L29" s="798">
        <f t="shared" si="6"/>
        <v>0</v>
      </c>
    </row>
    <row r="30" spans="1:27">
      <c r="C30" s="798">
        <f t="shared" si="5"/>
        <v>0</v>
      </c>
      <c r="D30" s="798">
        <f t="shared" si="4"/>
        <v>0</v>
      </c>
      <c r="L30" s="798">
        <f t="shared" si="6"/>
        <v>0</v>
      </c>
    </row>
    <row r="31" spans="1:27">
      <c r="C31" s="798">
        <f t="shared" si="5"/>
        <v>0</v>
      </c>
      <c r="D31" s="798">
        <f t="shared" si="4"/>
        <v>0</v>
      </c>
      <c r="L31" s="798">
        <f t="shared" si="6"/>
        <v>0</v>
      </c>
    </row>
    <row r="32" spans="1:27">
      <c r="C32" s="798">
        <f t="shared" si="5"/>
        <v>0</v>
      </c>
      <c r="D32" s="798">
        <f t="shared" si="4"/>
        <v>0</v>
      </c>
      <c r="L32" s="798">
        <f t="shared" si="6"/>
        <v>0</v>
      </c>
    </row>
    <row r="33" spans="3:12">
      <c r="C33" s="798">
        <f t="shared" si="5"/>
        <v>0</v>
      </c>
      <c r="D33" s="798">
        <f t="shared" si="4"/>
        <v>0</v>
      </c>
      <c r="L33" s="798">
        <f t="shared" si="6"/>
        <v>0</v>
      </c>
    </row>
    <row r="34" spans="3:12">
      <c r="C34" s="798">
        <f t="shared" si="5"/>
        <v>0</v>
      </c>
      <c r="D34" s="798">
        <f t="shared" si="4"/>
        <v>0</v>
      </c>
      <c r="L34" s="798">
        <f t="shared" si="6"/>
        <v>0</v>
      </c>
    </row>
    <row r="35" spans="3:12">
      <c r="C35" s="798">
        <f t="shared" si="5"/>
        <v>0</v>
      </c>
      <c r="D35" s="798">
        <f t="shared" si="4"/>
        <v>0</v>
      </c>
      <c r="L35" s="798">
        <f t="shared" si="6"/>
        <v>0</v>
      </c>
    </row>
    <row r="36" spans="3:12">
      <c r="C36" s="798">
        <f t="shared" si="5"/>
        <v>0</v>
      </c>
      <c r="D36" s="798">
        <f t="shared" si="4"/>
        <v>0</v>
      </c>
      <c r="L36" s="798">
        <f t="shared" si="6"/>
        <v>0</v>
      </c>
    </row>
    <row r="37" spans="3:12">
      <c r="C37" s="798">
        <f t="shared" si="5"/>
        <v>0</v>
      </c>
      <c r="D37" s="798">
        <f t="shared" si="4"/>
        <v>0</v>
      </c>
      <c r="L37" s="798">
        <f t="shared" si="6"/>
        <v>0</v>
      </c>
    </row>
    <row r="38" spans="3:12">
      <c r="L38" s="798">
        <f t="shared" si="6"/>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55" zoomScaleNormal="55" workbookViewId="0">
      <selection activeCell="C7" sqref="C7:K32"/>
    </sheetView>
  </sheetViews>
  <sheetFormatPr defaultColWidth="9.28515625" defaultRowHeight="12.75"/>
  <cols>
    <col min="1" max="1" width="11.7109375" style="491" bestFit="1" customWidth="1"/>
    <col min="2" max="2" width="93.42578125" style="491" customWidth="1"/>
    <col min="3" max="3" width="17.140625" style="491" bestFit="1" customWidth="1"/>
    <col min="4" max="5" width="16.140625" style="491" customWidth="1"/>
    <col min="6" max="6" width="16.140625" style="545" customWidth="1"/>
    <col min="7" max="7" width="32" style="545" customWidth="1"/>
    <col min="8" max="8" width="16.140625" style="491" customWidth="1"/>
    <col min="9" max="11" width="16.140625" style="545" customWidth="1"/>
    <col min="12" max="12" width="29.42578125" style="545" customWidth="1"/>
    <col min="13" max="16384" width="9.28515625" style="491"/>
  </cols>
  <sheetData>
    <row r="1" spans="1:13" ht="13.5">
      <c r="A1" s="378" t="s">
        <v>108</v>
      </c>
      <c r="B1" s="305" t="str">
        <f>Info!C2</f>
        <v>JSC "VTB Bank (Georgia)"</v>
      </c>
      <c r="F1" s="491"/>
      <c r="G1" s="491"/>
      <c r="I1" s="491"/>
      <c r="J1" s="491"/>
      <c r="K1" s="491"/>
      <c r="L1" s="491"/>
    </row>
    <row r="2" spans="1:13">
      <c r="A2" s="380" t="s">
        <v>109</v>
      </c>
      <c r="B2" s="382">
        <f>Info!D2</f>
        <v>45747</v>
      </c>
      <c r="F2" s="491"/>
      <c r="G2" s="491"/>
      <c r="I2" s="491"/>
      <c r="J2" s="491"/>
      <c r="K2" s="491"/>
      <c r="L2" s="491"/>
    </row>
    <row r="3" spans="1:13">
      <c r="A3" s="381" t="s">
        <v>594</v>
      </c>
      <c r="F3" s="491"/>
      <c r="G3" s="491"/>
      <c r="I3" s="491"/>
      <c r="J3" s="491"/>
      <c r="K3" s="491"/>
      <c r="L3" s="491"/>
    </row>
    <row r="4" spans="1:13">
      <c r="F4" s="491"/>
      <c r="G4" s="491"/>
      <c r="I4" s="491"/>
      <c r="J4" s="491"/>
      <c r="K4" s="491"/>
      <c r="L4" s="491"/>
    </row>
    <row r="5" spans="1:13" ht="37.5" customHeight="1">
      <c r="A5" s="864" t="s">
        <v>595</v>
      </c>
      <c r="B5" s="865"/>
      <c r="C5" s="915" t="s">
        <v>596</v>
      </c>
      <c r="D5" s="916"/>
      <c r="E5" s="916"/>
      <c r="F5" s="916"/>
      <c r="G5" s="916"/>
      <c r="H5" s="917" t="s">
        <v>907</v>
      </c>
      <c r="I5" s="918"/>
      <c r="J5" s="918"/>
      <c r="K5" s="918"/>
      <c r="L5" s="919"/>
    </row>
    <row r="6" spans="1:13" ht="39.6" customHeight="1">
      <c r="A6" s="868"/>
      <c r="B6" s="869"/>
      <c r="C6" s="388"/>
      <c r="D6" s="489" t="s">
        <v>892</v>
      </c>
      <c r="E6" s="489" t="s">
        <v>891</v>
      </c>
      <c r="F6" s="489" t="s">
        <v>890</v>
      </c>
      <c r="G6" s="489" t="s">
        <v>889</v>
      </c>
      <c r="H6" s="548"/>
      <c r="I6" s="489" t="s">
        <v>892</v>
      </c>
      <c r="J6" s="489" t="s">
        <v>891</v>
      </c>
      <c r="K6" s="489" t="s">
        <v>890</v>
      </c>
      <c r="L6" s="489" t="s">
        <v>889</v>
      </c>
    </row>
    <row r="7" spans="1:13">
      <c r="A7" s="480">
        <v>1</v>
      </c>
      <c r="B7" s="495" t="s">
        <v>518</v>
      </c>
      <c r="C7" s="773">
        <v>0</v>
      </c>
      <c r="D7" s="718">
        <v>0</v>
      </c>
      <c r="E7" s="718">
        <v>0</v>
      </c>
      <c r="F7" s="718">
        <v>0</v>
      </c>
      <c r="G7" s="718">
        <v>0</v>
      </c>
      <c r="H7" s="718">
        <v>0</v>
      </c>
      <c r="I7" s="718">
        <v>0</v>
      </c>
      <c r="J7" s="718">
        <v>0</v>
      </c>
      <c r="K7" s="718">
        <v>0</v>
      </c>
      <c r="L7" s="718">
        <v>0</v>
      </c>
      <c r="M7" s="662"/>
    </row>
    <row r="8" spans="1:13">
      <c r="A8" s="480">
        <v>2</v>
      </c>
      <c r="B8" s="495" t="s">
        <v>519</v>
      </c>
      <c r="C8" s="773">
        <v>6785929.9937739987</v>
      </c>
      <c r="D8" s="718">
        <v>6557472.447333999</v>
      </c>
      <c r="E8" s="718">
        <v>621.16</v>
      </c>
      <c r="F8" s="774">
        <v>227836.38644</v>
      </c>
      <c r="G8" s="774"/>
      <c r="H8" s="718">
        <v>228747.48822835152</v>
      </c>
      <c r="I8" s="774">
        <v>21996.211816329975</v>
      </c>
      <c r="J8" s="774">
        <v>158.89285655450001</v>
      </c>
      <c r="K8" s="774">
        <v>206592.38355546704</v>
      </c>
      <c r="L8" s="774"/>
      <c r="M8" s="662"/>
    </row>
    <row r="9" spans="1:13">
      <c r="A9" s="480">
        <v>3</v>
      </c>
      <c r="B9" s="495" t="s">
        <v>868</v>
      </c>
      <c r="C9" s="773">
        <v>0</v>
      </c>
      <c r="D9" s="718">
        <v>0</v>
      </c>
      <c r="E9" s="718">
        <v>0</v>
      </c>
      <c r="F9" s="775">
        <v>0</v>
      </c>
      <c r="G9" s="775"/>
      <c r="H9" s="718">
        <v>0</v>
      </c>
      <c r="I9" s="775">
        <v>0</v>
      </c>
      <c r="J9" s="775">
        <v>0</v>
      </c>
      <c r="K9" s="775">
        <v>0</v>
      </c>
      <c r="L9" s="775"/>
      <c r="M9" s="662"/>
    </row>
    <row r="10" spans="1:13">
      <c r="A10" s="480">
        <v>4</v>
      </c>
      <c r="B10" s="495" t="s">
        <v>520</v>
      </c>
      <c r="C10" s="773">
        <v>7817200.2930000005</v>
      </c>
      <c r="D10" s="718">
        <v>0</v>
      </c>
      <c r="E10" s="718">
        <v>0</v>
      </c>
      <c r="F10" s="775">
        <v>7817200.2930000005</v>
      </c>
      <c r="G10" s="775"/>
      <c r="H10" s="718">
        <v>1662757.6573052502</v>
      </c>
      <c r="I10" s="775">
        <v>0</v>
      </c>
      <c r="J10" s="775">
        <v>0</v>
      </c>
      <c r="K10" s="775">
        <v>1662757.6573052502</v>
      </c>
      <c r="L10" s="775"/>
      <c r="M10" s="662"/>
    </row>
    <row r="11" spans="1:13">
      <c r="A11" s="480">
        <v>5</v>
      </c>
      <c r="B11" s="495" t="s">
        <v>521</v>
      </c>
      <c r="C11" s="773">
        <v>5575515.0146839991</v>
      </c>
      <c r="D11" s="718">
        <v>4843627.4804999996</v>
      </c>
      <c r="E11" s="718">
        <v>0</v>
      </c>
      <c r="F11" s="775">
        <v>731887.53418399999</v>
      </c>
      <c r="G11" s="775"/>
      <c r="H11" s="718">
        <v>221805.84491225073</v>
      </c>
      <c r="I11" s="775">
        <v>2239.5846570507247</v>
      </c>
      <c r="J11" s="775">
        <v>0</v>
      </c>
      <c r="K11" s="775">
        <v>219566.2602552</v>
      </c>
      <c r="L11" s="775"/>
      <c r="M11" s="662"/>
    </row>
    <row r="12" spans="1:13">
      <c r="A12" s="480">
        <v>6</v>
      </c>
      <c r="B12" s="495" t="s">
        <v>522</v>
      </c>
      <c r="C12" s="773">
        <v>0</v>
      </c>
      <c r="D12" s="718">
        <v>0</v>
      </c>
      <c r="E12" s="718">
        <v>0</v>
      </c>
      <c r="F12" s="775">
        <v>0</v>
      </c>
      <c r="G12" s="775"/>
      <c r="H12" s="718">
        <v>0</v>
      </c>
      <c r="I12" s="775">
        <v>0</v>
      </c>
      <c r="J12" s="775">
        <v>0</v>
      </c>
      <c r="K12" s="775">
        <v>0</v>
      </c>
      <c r="L12" s="775"/>
      <c r="M12" s="662"/>
    </row>
    <row r="13" spans="1:13">
      <c r="A13" s="480">
        <v>7</v>
      </c>
      <c r="B13" s="495" t="s">
        <v>523</v>
      </c>
      <c r="C13" s="773">
        <v>0</v>
      </c>
      <c r="D13" s="718">
        <v>0</v>
      </c>
      <c r="E13" s="718">
        <v>0</v>
      </c>
      <c r="F13" s="775">
        <v>0</v>
      </c>
      <c r="G13" s="775"/>
      <c r="H13" s="718">
        <v>0</v>
      </c>
      <c r="I13" s="775">
        <v>0</v>
      </c>
      <c r="J13" s="775">
        <v>0</v>
      </c>
      <c r="K13" s="775">
        <v>0</v>
      </c>
      <c r="L13" s="775"/>
      <c r="M13" s="662"/>
    </row>
    <row r="14" spans="1:13">
      <c r="A14" s="480">
        <v>8</v>
      </c>
      <c r="B14" s="495" t="s">
        <v>524</v>
      </c>
      <c r="C14" s="773">
        <v>40479977.898818001</v>
      </c>
      <c r="D14" s="718">
        <v>7899750.4268180002</v>
      </c>
      <c r="E14" s="718">
        <v>0</v>
      </c>
      <c r="F14" s="775">
        <v>32580227.471999999</v>
      </c>
      <c r="G14" s="775"/>
      <c r="H14" s="718">
        <v>4318949.942481461</v>
      </c>
      <c r="I14" s="775">
        <v>3995.5832950839804</v>
      </c>
      <c r="J14" s="775">
        <v>0</v>
      </c>
      <c r="K14" s="775">
        <v>4314954.3591863774</v>
      </c>
      <c r="L14" s="775"/>
      <c r="M14" s="662"/>
    </row>
    <row r="15" spans="1:13">
      <c r="A15" s="480">
        <v>9</v>
      </c>
      <c r="B15" s="495" t="s">
        <v>525</v>
      </c>
      <c r="C15" s="773">
        <v>35246487.075112</v>
      </c>
      <c r="D15" s="718">
        <v>113792.91</v>
      </c>
      <c r="E15" s="718">
        <v>2995921.0054119998</v>
      </c>
      <c r="F15" s="775">
        <v>32136773.159700003</v>
      </c>
      <c r="G15" s="775"/>
      <c r="H15" s="718">
        <v>4148477.2020328548</v>
      </c>
      <c r="I15" s="775">
        <v>34.411932234057602</v>
      </c>
      <c r="J15" s="775">
        <v>599184.20108239993</v>
      </c>
      <c r="K15" s="775">
        <v>3549258.589018221</v>
      </c>
      <c r="L15" s="775"/>
      <c r="M15" s="662"/>
    </row>
    <row r="16" spans="1:13">
      <c r="A16" s="480">
        <v>10</v>
      </c>
      <c r="B16" s="495" t="s">
        <v>526</v>
      </c>
      <c r="C16" s="773">
        <v>7671.15</v>
      </c>
      <c r="D16" s="718">
        <v>0</v>
      </c>
      <c r="E16" s="718">
        <v>0</v>
      </c>
      <c r="F16" s="775">
        <v>7671.15</v>
      </c>
      <c r="G16" s="775"/>
      <c r="H16" s="718">
        <v>7671.15</v>
      </c>
      <c r="I16" s="775">
        <v>0</v>
      </c>
      <c r="J16" s="775">
        <v>0</v>
      </c>
      <c r="K16" s="775">
        <v>7671.15</v>
      </c>
      <c r="L16" s="775"/>
      <c r="M16" s="662"/>
    </row>
    <row r="17" spans="1:13">
      <c r="A17" s="480">
        <v>11</v>
      </c>
      <c r="B17" s="495" t="s">
        <v>527</v>
      </c>
      <c r="C17" s="773">
        <v>0</v>
      </c>
      <c r="D17" s="718">
        <v>0</v>
      </c>
      <c r="E17" s="718">
        <v>0</v>
      </c>
      <c r="F17" s="775">
        <v>0</v>
      </c>
      <c r="G17" s="775"/>
      <c r="H17" s="718">
        <v>0</v>
      </c>
      <c r="I17" s="775">
        <v>0</v>
      </c>
      <c r="J17" s="775">
        <v>0</v>
      </c>
      <c r="K17" s="775">
        <v>0</v>
      </c>
      <c r="L17" s="775"/>
      <c r="M17" s="662"/>
    </row>
    <row r="18" spans="1:13">
      <c r="A18" s="480">
        <v>12</v>
      </c>
      <c r="B18" s="495" t="s">
        <v>528</v>
      </c>
      <c r="C18" s="773">
        <v>6821162.3216999993</v>
      </c>
      <c r="D18" s="718">
        <v>5979242.0716999993</v>
      </c>
      <c r="E18" s="718">
        <v>0</v>
      </c>
      <c r="F18" s="775">
        <v>841920.25</v>
      </c>
      <c r="G18" s="775"/>
      <c r="H18" s="718">
        <v>718110.47042007395</v>
      </c>
      <c r="I18" s="775">
        <v>3302.9961241559204</v>
      </c>
      <c r="J18" s="775">
        <v>0</v>
      </c>
      <c r="K18" s="775">
        <v>714807.47429591801</v>
      </c>
      <c r="L18" s="775"/>
      <c r="M18" s="662"/>
    </row>
    <row r="19" spans="1:13">
      <c r="A19" s="480">
        <v>13</v>
      </c>
      <c r="B19" s="495" t="s">
        <v>529</v>
      </c>
      <c r="C19" s="773">
        <v>4226612.7228367543</v>
      </c>
      <c r="D19" s="718">
        <v>0</v>
      </c>
      <c r="E19" s="718">
        <v>4226612.7228367543</v>
      </c>
      <c r="F19" s="775">
        <v>0</v>
      </c>
      <c r="G19" s="775"/>
      <c r="H19" s="718">
        <v>422730.71831579902</v>
      </c>
      <c r="I19" s="775">
        <v>0</v>
      </c>
      <c r="J19" s="775">
        <v>422730.71831579902</v>
      </c>
      <c r="K19" s="775">
        <v>0</v>
      </c>
      <c r="L19" s="775"/>
      <c r="M19" s="662"/>
    </row>
    <row r="20" spans="1:13">
      <c r="A20" s="480">
        <v>14</v>
      </c>
      <c r="B20" s="495" t="s">
        <v>530</v>
      </c>
      <c r="C20" s="773">
        <v>37771696.395440161</v>
      </c>
      <c r="D20" s="718">
        <v>20224771.625095002</v>
      </c>
      <c r="E20" s="718">
        <v>9417611.0809168238</v>
      </c>
      <c r="F20" s="775">
        <v>8129313.6894283332</v>
      </c>
      <c r="G20" s="775"/>
      <c r="H20" s="718">
        <v>3894174.6011196319</v>
      </c>
      <c r="I20" s="775">
        <v>247980.45181818359</v>
      </c>
      <c r="J20" s="775">
        <v>1766191.0216471085</v>
      </c>
      <c r="K20" s="775">
        <v>1880003.1276543401</v>
      </c>
      <c r="L20" s="775"/>
      <c r="M20" s="662"/>
    </row>
    <row r="21" spans="1:13">
      <c r="A21" s="480">
        <v>15</v>
      </c>
      <c r="B21" s="495" t="s">
        <v>531</v>
      </c>
      <c r="C21" s="773">
        <v>0</v>
      </c>
      <c r="D21" s="718">
        <v>0</v>
      </c>
      <c r="E21" s="718">
        <v>0</v>
      </c>
      <c r="F21" s="775">
        <v>0</v>
      </c>
      <c r="G21" s="775"/>
      <c r="H21" s="718">
        <v>0</v>
      </c>
      <c r="I21" s="775">
        <v>0</v>
      </c>
      <c r="J21" s="775">
        <v>0</v>
      </c>
      <c r="K21" s="775">
        <v>0</v>
      </c>
      <c r="L21" s="775"/>
      <c r="M21" s="662"/>
    </row>
    <row r="22" spans="1:13">
      <c r="A22" s="480">
        <v>16</v>
      </c>
      <c r="B22" s="495" t="s">
        <v>532</v>
      </c>
      <c r="C22" s="773">
        <v>0</v>
      </c>
      <c r="D22" s="718">
        <v>0</v>
      </c>
      <c r="E22" s="718">
        <v>0</v>
      </c>
      <c r="F22" s="775">
        <v>0</v>
      </c>
      <c r="G22" s="775"/>
      <c r="H22" s="718">
        <v>0</v>
      </c>
      <c r="I22" s="775">
        <v>0</v>
      </c>
      <c r="J22" s="775">
        <v>0</v>
      </c>
      <c r="K22" s="775">
        <v>0</v>
      </c>
      <c r="L22" s="775"/>
      <c r="M22" s="662"/>
    </row>
    <row r="23" spans="1:13">
      <c r="A23" s="480">
        <v>17</v>
      </c>
      <c r="B23" s="495" t="s">
        <v>533</v>
      </c>
      <c r="C23" s="773">
        <v>17540608.063144483</v>
      </c>
      <c r="D23" s="718">
        <v>0</v>
      </c>
      <c r="E23" s="718">
        <v>13441002.547344483</v>
      </c>
      <c r="F23" s="775">
        <v>4099605.5157999997</v>
      </c>
      <c r="G23" s="775"/>
      <c r="H23" s="718">
        <v>2116899.3149609091</v>
      </c>
      <c r="I23" s="775">
        <v>0</v>
      </c>
      <c r="J23" s="775">
        <v>58107.972501624216</v>
      </c>
      <c r="K23" s="775">
        <v>2058791.3424592847</v>
      </c>
      <c r="L23" s="775"/>
      <c r="M23" s="662"/>
    </row>
    <row r="24" spans="1:13">
      <c r="A24" s="480">
        <v>18</v>
      </c>
      <c r="B24" s="495" t="s">
        <v>534</v>
      </c>
      <c r="C24" s="773">
        <v>0</v>
      </c>
      <c r="D24" s="718">
        <v>0</v>
      </c>
      <c r="E24" s="718">
        <v>0</v>
      </c>
      <c r="F24" s="775">
        <v>0</v>
      </c>
      <c r="G24" s="775"/>
      <c r="H24" s="718">
        <v>0</v>
      </c>
      <c r="I24" s="775">
        <v>0</v>
      </c>
      <c r="J24" s="775">
        <v>0</v>
      </c>
      <c r="K24" s="775">
        <v>0</v>
      </c>
      <c r="L24" s="775"/>
      <c r="M24" s="662"/>
    </row>
    <row r="25" spans="1:13">
      <c r="A25" s="480">
        <v>19</v>
      </c>
      <c r="B25" s="495" t="s">
        <v>535</v>
      </c>
      <c r="C25" s="773">
        <v>0</v>
      </c>
      <c r="D25" s="718">
        <v>0</v>
      </c>
      <c r="E25" s="718">
        <v>0</v>
      </c>
      <c r="F25" s="775">
        <v>0</v>
      </c>
      <c r="G25" s="775"/>
      <c r="H25" s="718">
        <v>0</v>
      </c>
      <c r="I25" s="775">
        <v>0</v>
      </c>
      <c r="J25" s="775">
        <v>0</v>
      </c>
      <c r="K25" s="775">
        <v>0</v>
      </c>
      <c r="L25" s="775"/>
      <c r="M25" s="662"/>
    </row>
    <row r="26" spans="1:13">
      <c r="A26" s="480">
        <v>20</v>
      </c>
      <c r="B26" s="495" t="s">
        <v>536</v>
      </c>
      <c r="C26" s="773">
        <v>6480117.3399999999</v>
      </c>
      <c r="D26" s="718">
        <v>6480117.3399999999</v>
      </c>
      <c r="E26" s="718">
        <v>0</v>
      </c>
      <c r="F26" s="775">
        <v>0</v>
      </c>
      <c r="G26" s="775"/>
      <c r="H26" s="718">
        <v>5533.3717960017648</v>
      </c>
      <c r="I26" s="775">
        <v>5533.3717960017648</v>
      </c>
      <c r="J26" s="775">
        <v>0</v>
      </c>
      <c r="K26" s="775">
        <v>0</v>
      </c>
      <c r="L26" s="775"/>
      <c r="M26" s="662"/>
    </row>
    <row r="27" spans="1:13">
      <c r="A27" s="480">
        <v>21</v>
      </c>
      <c r="B27" s="495" t="s">
        <v>537</v>
      </c>
      <c r="C27" s="773">
        <v>0</v>
      </c>
      <c r="D27" s="718">
        <v>0</v>
      </c>
      <c r="E27" s="718">
        <v>0</v>
      </c>
      <c r="F27" s="775">
        <v>0</v>
      </c>
      <c r="G27" s="775"/>
      <c r="H27" s="718">
        <v>0</v>
      </c>
      <c r="I27" s="775">
        <v>0</v>
      </c>
      <c r="J27" s="775">
        <v>0</v>
      </c>
      <c r="K27" s="775">
        <v>0</v>
      </c>
      <c r="L27" s="775"/>
      <c r="M27" s="662"/>
    </row>
    <row r="28" spans="1:13">
      <c r="A28" s="480">
        <v>22</v>
      </c>
      <c r="B28" s="495" t="s">
        <v>538</v>
      </c>
      <c r="C28" s="773">
        <v>0</v>
      </c>
      <c r="D28" s="718">
        <v>0</v>
      </c>
      <c r="E28" s="718">
        <v>0</v>
      </c>
      <c r="F28" s="775">
        <v>0</v>
      </c>
      <c r="G28" s="775"/>
      <c r="H28" s="718">
        <v>0</v>
      </c>
      <c r="I28" s="775">
        <v>0</v>
      </c>
      <c r="J28" s="775">
        <v>0</v>
      </c>
      <c r="K28" s="775">
        <v>0</v>
      </c>
      <c r="L28" s="775"/>
      <c r="M28" s="662"/>
    </row>
    <row r="29" spans="1:13">
      <c r="A29" s="480">
        <v>23</v>
      </c>
      <c r="B29" s="495" t="s">
        <v>539</v>
      </c>
      <c r="C29" s="773">
        <v>11175537.986956</v>
      </c>
      <c r="D29" s="718">
        <v>1721550.7281559999</v>
      </c>
      <c r="E29" s="718">
        <v>0</v>
      </c>
      <c r="F29" s="775">
        <v>9453987.2588</v>
      </c>
      <c r="G29" s="775"/>
      <c r="H29" s="718">
        <v>2938495.3235642104</v>
      </c>
      <c r="I29" s="775">
        <v>12723.345560495743</v>
      </c>
      <c r="J29" s="775">
        <v>0</v>
      </c>
      <c r="K29" s="775">
        <v>2925771.9780037147</v>
      </c>
      <c r="L29" s="775"/>
      <c r="M29" s="662"/>
    </row>
    <row r="30" spans="1:13">
      <c r="A30" s="480">
        <v>24</v>
      </c>
      <c r="B30" s="495" t="s">
        <v>540</v>
      </c>
      <c r="C30" s="773">
        <v>5580898.4256000007</v>
      </c>
      <c r="D30" s="718">
        <v>722135.723</v>
      </c>
      <c r="E30" s="718">
        <v>0</v>
      </c>
      <c r="F30" s="775">
        <v>4858762.7026000004</v>
      </c>
      <c r="G30" s="775"/>
      <c r="H30" s="718">
        <v>1822907.3817344822</v>
      </c>
      <c r="I30" s="775">
        <v>1176.974450359498</v>
      </c>
      <c r="J30" s="775">
        <v>0</v>
      </c>
      <c r="K30" s="775">
        <v>1821730.4072841227</v>
      </c>
      <c r="L30" s="775"/>
      <c r="M30" s="662"/>
    </row>
    <row r="31" spans="1:13">
      <c r="A31" s="480">
        <v>25</v>
      </c>
      <c r="B31" s="495" t="s">
        <v>541</v>
      </c>
      <c r="C31" s="773">
        <v>0</v>
      </c>
      <c r="D31" s="718">
        <v>0</v>
      </c>
      <c r="E31" s="718">
        <v>0</v>
      </c>
      <c r="F31" s="775">
        <v>0</v>
      </c>
      <c r="G31" s="775"/>
      <c r="H31" s="718">
        <v>0</v>
      </c>
      <c r="I31" s="775">
        <v>0</v>
      </c>
      <c r="J31" s="775">
        <v>0</v>
      </c>
      <c r="K31" s="775">
        <v>0</v>
      </c>
      <c r="L31" s="775"/>
      <c r="M31" s="662"/>
    </row>
    <row r="32" spans="1:13">
      <c r="A32" s="480">
        <v>26</v>
      </c>
      <c r="B32" s="495" t="s">
        <v>597</v>
      </c>
      <c r="C32" s="773">
        <v>978113.68592299998</v>
      </c>
      <c r="D32" s="718">
        <v>809806.57225299999</v>
      </c>
      <c r="E32" s="718">
        <v>0</v>
      </c>
      <c r="F32" s="775">
        <v>168307.11366999999</v>
      </c>
      <c r="G32" s="775"/>
      <c r="H32" s="718">
        <v>58543.846273412099</v>
      </c>
      <c r="I32" s="775">
        <v>4384.7985846263991</v>
      </c>
      <c r="J32" s="775">
        <v>0</v>
      </c>
      <c r="K32" s="775">
        <v>54159.0476887857</v>
      </c>
      <c r="L32" s="775"/>
      <c r="M32" s="662"/>
    </row>
    <row r="33" spans="1:12" ht="15">
      <c r="A33" s="480">
        <v>27</v>
      </c>
      <c r="B33" s="547" t="s">
        <v>66</v>
      </c>
      <c r="C33" s="696">
        <f>SUM(C7:C32)</f>
        <v>186487528.36698839</v>
      </c>
      <c r="D33" s="696">
        <f t="shared" ref="D33:L33" si="0">SUM(D7:D32)</f>
        <v>55352267.324855998</v>
      </c>
      <c r="E33" s="696">
        <f t="shared" si="0"/>
        <v>30081768.516510062</v>
      </c>
      <c r="F33" s="696">
        <f t="shared" si="0"/>
        <v>101053492.52562235</v>
      </c>
      <c r="G33" s="696">
        <f t="shared" si="0"/>
        <v>0</v>
      </c>
      <c r="H33" s="696">
        <f t="shared" si="0"/>
        <v>22565804.313144684</v>
      </c>
      <c r="I33" s="696">
        <f t="shared" si="0"/>
        <v>303367.73003452161</v>
      </c>
      <c r="J33" s="696">
        <f t="shared" si="0"/>
        <v>2846372.8064034861</v>
      </c>
      <c r="K33" s="696">
        <f t="shared" si="0"/>
        <v>19416063.776706681</v>
      </c>
      <c r="L33" s="696">
        <f t="shared" si="0"/>
        <v>0</v>
      </c>
    </row>
    <row r="34" spans="1:12">
      <c r="A34" s="508"/>
      <c r="B34" s="508"/>
      <c r="C34" s="698">
        <f>C33-'23. LTV'!C8</f>
        <v>0</v>
      </c>
      <c r="D34" s="508"/>
      <c r="E34" s="508"/>
      <c r="F34" s="796">
        <f>F33-'18. Assets by Exposure classes'!C21</f>
        <v>0</v>
      </c>
      <c r="H34" s="508"/>
    </row>
    <row r="35" spans="1:12">
      <c r="A35" s="508"/>
      <c r="B35" s="546"/>
      <c r="C35" s="797">
        <f>SUM(D33:F33)-C33</f>
        <v>0</v>
      </c>
      <c r="D35" s="508"/>
      <c r="E35" s="508"/>
      <c r="H35" s="797">
        <f>SUM(I33:K33)-H33</f>
        <v>0</v>
      </c>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3"/>
  <sheetViews>
    <sheetView showGridLines="0" topLeftCell="K1" zoomScale="70" zoomScaleNormal="70" workbookViewId="0">
      <selection activeCell="C6" sqref="C6:K10"/>
    </sheetView>
  </sheetViews>
  <sheetFormatPr defaultColWidth="8.7109375" defaultRowHeight="12"/>
  <cols>
    <col min="1" max="1" width="11.7109375" style="389" bestFit="1" customWidth="1"/>
    <col min="2" max="2" width="48.28515625" style="389" customWidth="1"/>
    <col min="3" max="11" width="28.28515625" style="389" customWidth="1"/>
    <col min="12" max="12" width="13" style="389" bestFit="1" customWidth="1"/>
    <col min="13" max="16384" width="8.7109375" style="389"/>
  </cols>
  <sheetData>
    <row r="1" spans="1:12" s="379" customFormat="1" ht="13.5">
      <c r="A1" s="378" t="s">
        <v>108</v>
      </c>
      <c r="B1" s="305" t="str">
        <f>Info!C2</f>
        <v>JSC "VTB Bank (Georgia)"</v>
      </c>
      <c r="C1" s="491"/>
      <c r="D1" s="491"/>
      <c r="E1" s="491"/>
      <c r="F1" s="491"/>
      <c r="G1" s="491"/>
      <c r="H1" s="491"/>
      <c r="I1" s="491"/>
      <c r="J1" s="491"/>
      <c r="K1" s="491"/>
    </row>
    <row r="2" spans="1:12" s="379" customFormat="1" ht="12.75">
      <c r="A2" s="380" t="s">
        <v>109</v>
      </c>
      <c r="B2" s="382">
        <f>Info!D2</f>
        <v>45747</v>
      </c>
      <c r="C2" s="491"/>
      <c r="D2" s="491"/>
      <c r="E2" s="491"/>
      <c r="F2" s="491"/>
      <c r="G2" s="491"/>
      <c r="H2" s="491"/>
      <c r="I2" s="491"/>
      <c r="J2" s="491"/>
      <c r="K2" s="491"/>
    </row>
    <row r="3" spans="1:12" s="379" customFormat="1" ht="12.75">
      <c r="A3" s="381" t="s">
        <v>598</v>
      </c>
      <c r="B3" s="491"/>
      <c r="C3" s="491"/>
      <c r="D3" s="491"/>
      <c r="E3" s="491"/>
      <c r="F3" s="491"/>
      <c r="G3" s="491"/>
      <c r="H3" s="491"/>
      <c r="I3" s="491"/>
      <c r="J3" s="491"/>
      <c r="K3" s="491"/>
    </row>
    <row r="4" spans="1:12">
      <c r="A4" s="553"/>
      <c r="B4" s="553"/>
      <c r="C4" s="552" t="s">
        <v>502</v>
      </c>
      <c r="D4" s="552" t="s">
        <v>503</v>
      </c>
      <c r="E4" s="552" t="s">
        <v>504</v>
      </c>
      <c r="F4" s="552" t="s">
        <v>505</v>
      </c>
      <c r="G4" s="552" t="s">
        <v>506</v>
      </c>
      <c r="H4" s="552" t="s">
        <v>507</v>
      </c>
      <c r="I4" s="552" t="s">
        <v>508</v>
      </c>
      <c r="J4" s="552" t="s">
        <v>509</v>
      </c>
      <c r="K4" s="552" t="s">
        <v>510</v>
      </c>
    </row>
    <row r="5" spans="1:12" ht="104.1" customHeight="1">
      <c r="A5" s="920" t="s">
        <v>906</v>
      </c>
      <c r="B5" s="921"/>
      <c r="C5" s="551" t="s">
        <v>599</v>
      </c>
      <c r="D5" s="551" t="s">
        <v>592</v>
      </c>
      <c r="E5" s="551" t="s">
        <v>593</v>
      </c>
      <c r="F5" s="551" t="s">
        <v>905</v>
      </c>
      <c r="G5" s="551" t="s">
        <v>600</v>
      </c>
      <c r="H5" s="551" t="s">
        <v>601</v>
      </c>
      <c r="I5" s="551" t="s">
        <v>602</v>
      </c>
      <c r="J5" s="551" t="s">
        <v>603</v>
      </c>
      <c r="K5" s="551" t="s">
        <v>604</v>
      </c>
    </row>
    <row r="6" spans="1:12" ht="12.75">
      <c r="A6" s="480">
        <v>1</v>
      </c>
      <c r="B6" s="480" t="s">
        <v>605</v>
      </c>
      <c r="C6" s="776">
        <v>200000</v>
      </c>
      <c r="D6" s="776">
        <v>44648.72</v>
      </c>
      <c r="E6" s="776">
        <v>0</v>
      </c>
      <c r="F6" s="776">
        <v>0</v>
      </c>
      <c r="G6" s="776">
        <v>149709946.26291594</v>
      </c>
      <c r="H6" s="776">
        <v>4192227.7771000001</v>
      </c>
      <c r="I6" s="776">
        <v>12898523.393717477</v>
      </c>
      <c r="J6" s="776">
        <v>3419529.7818</v>
      </c>
      <c r="K6" s="776">
        <v>16022652.431454999</v>
      </c>
    </row>
    <row r="7" spans="1:12" ht="12.75">
      <c r="A7" s="480">
        <v>2</v>
      </c>
      <c r="B7" s="481" t="s">
        <v>606</v>
      </c>
      <c r="C7" s="776"/>
      <c r="D7" s="776"/>
      <c r="E7" s="776"/>
      <c r="F7" s="776"/>
      <c r="G7" s="776"/>
      <c r="H7" s="776"/>
      <c r="I7" s="776"/>
      <c r="J7" s="776"/>
      <c r="K7" s="776"/>
    </row>
    <row r="8" spans="1:12" ht="12.75">
      <c r="A8" s="480">
        <v>3</v>
      </c>
      <c r="B8" s="481" t="s">
        <v>570</v>
      </c>
      <c r="C8" s="776">
        <v>46018.875800000002</v>
      </c>
      <c r="D8" s="776">
        <v>0</v>
      </c>
      <c r="E8" s="776">
        <v>0</v>
      </c>
      <c r="F8" s="776">
        <v>0</v>
      </c>
      <c r="G8" s="776">
        <v>48594.948900000003</v>
      </c>
      <c r="H8" s="776">
        <v>0</v>
      </c>
      <c r="I8" s="776">
        <v>0</v>
      </c>
      <c r="J8" s="776">
        <v>0</v>
      </c>
      <c r="K8" s="776">
        <v>121405.0511</v>
      </c>
    </row>
    <row r="9" spans="1:12" ht="12.75">
      <c r="A9" s="480">
        <v>4</v>
      </c>
      <c r="B9" s="510" t="s">
        <v>904</v>
      </c>
      <c r="C9" s="777">
        <v>200000</v>
      </c>
      <c r="D9" s="777">
        <v>0</v>
      </c>
      <c r="E9" s="777">
        <v>0</v>
      </c>
      <c r="F9" s="777">
        <v>0</v>
      </c>
      <c r="G9" s="777">
        <v>89371685.884732351</v>
      </c>
      <c r="H9" s="777">
        <v>4192227.7771000001</v>
      </c>
      <c r="I9" s="777">
        <v>4727586.9677999979</v>
      </c>
      <c r="J9" s="777">
        <v>1712063.9790000001</v>
      </c>
      <c r="K9" s="777">
        <v>849927.91699000006</v>
      </c>
      <c r="L9" s="697">
        <f>SUM(C9:K9)-'18. Assets by Exposure classes'!C22</f>
        <v>0</v>
      </c>
    </row>
    <row r="10" spans="1:12" ht="12.75">
      <c r="A10" s="480">
        <v>5</v>
      </c>
      <c r="B10" s="499" t="s">
        <v>903</v>
      </c>
      <c r="C10" s="550"/>
      <c r="D10" s="550"/>
      <c r="E10" s="550"/>
      <c r="F10" s="550"/>
      <c r="G10" s="550"/>
      <c r="H10" s="550"/>
      <c r="I10" s="550"/>
      <c r="J10" s="550"/>
      <c r="K10" s="550"/>
    </row>
    <row r="11" spans="1:12" ht="12.75">
      <c r="A11" s="480">
        <v>6</v>
      </c>
      <c r="B11" s="499" t="s">
        <v>902</v>
      </c>
      <c r="C11" s="550"/>
      <c r="D11" s="550"/>
      <c r="E11" s="550"/>
      <c r="F11" s="550"/>
      <c r="G11" s="550"/>
      <c r="H11" s="550"/>
      <c r="I11" s="550"/>
      <c r="J11" s="550"/>
      <c r="K11" s="550"/>
    </row>
    <row r="13" spans="1:12" ht="15">
      <c r="B13" s="549"/>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0"/>
  <sheetViews>
    <sheetView showGridLines="0" zoomScale="55" zoomScaleNormal="55" workbookViewId="0">
      <selection activeCell="C7" sqref="C7:V19"/>
    </sheetView>
  </sheetViews>
  <sheetFormatPr defaultColWidth="8.7109375" defaultRowHeight="15"/>
  <cols>
    <col min="1" max="1" width="10" style="554" bestFit="1" customWidth="1"/>
    <col min="2" max="2" width="71.7109375" style="554" customWidth="1"/>
    <col min="3" max="3" width="11.42578125" style="554" bestFit="1" customWidth="1"/>
    <col min="4" max="5" width="15.28515625" style="554" bestFit="1" customWidth="1"/>
    <col min="6" max="6" width="20" style="554" bestFit="1" customWidth="1"/>
    <col min="7" max="7" width="37.7109375" style="554" bestFit="1" customWidth="1"/>
    <col min="8" max="8" width="11.28515625" style="554" bestFit="1" customWidth="1"/>
    <col min="9" max="10" width="15.28515625" style="554" bestFit="1" customWidth="1"/>
    <col min="11" max="11" width="20" style="554" bestFit="1" customWidth="1"/>
    <col min="12" max="12" width="37.7109375" style="554" bestFit="1" customWidth="1"/>
    <col min="13" max="13" width="10.7109375" style="554" bestFit="1" customWidth="1"/>
    <col min="14" max="15" width="15.28515625" style="554" bestFit="1" customWidth="1"/>
    <col min="16" max="16" width="20" style="554" bestFit="1" customWidth="1"/>
    <col min="17" max="17" width="37.7109375" style="554" bestFit="1" customWidth="1"/>
    <col min="18" max="18" width="18" style="554" bestFit="1" customWidth="1"/>
    <col min="19" max="19" width="48" style="554" bestFit="1" customWidth="1"/>
    <col min="20" max="20" width="45.7109375" style="554" bestFit="1" customWidth="1"/>
    <col min="21" max="21" width="48" style="554" bestFit="1" customWidth="1"/>
    <col min="22" max="22" width="44.28515625" style="554" bestFit="1" customWidth="1"/>
    <col min="23" max="16384" width="8.7109375" style="554"/>
  </cols>
  <sheetData>
    <row r="1" spans="1:22">
      <c r="A1" s="378" t="s">
        <v>108</v>
      </c>
      <c r="B1" s="305" t="str">
        <f>Info!C2</f>
        <v>JSC "VTB Bank (Georgia)"</v>
      </c>
    </row>
    <row r="2" spans="1:22">
      <c r="A2" s="380" t="s">
        <v>109</v>
      </c>
      <c r="B2" s="382">
        <f>Info!D2</f>
        <v>45747</v>
      </c>
    </row>
    <row r="3" spans="1:22">
      <c r="A3" s="381" t="s">
        <v>689</v>
      </c>
      <c r="B3" s="491"/>
    </row>
    <row r="4" spans="1:22">
      <c r="A4" s="381"/>
      <c r="B4" s="491"/>
    </row>
    <row r="5" spans="1:22" ht="24" customHeight="1">
      <c r="A5" s="922" t="s">
        <v>716</v>
      </c>
      <c r="B5" s="922"/>
      <c r="C5" s="924" t="s">
        <v>908</v>
      </c>
      <c r="D5" s="924"/>
      <c r="E5" s="924"/>
      <c r="F5" s="924"/>
      <c r="G5" s="924"/>
      <c r="H5" s="924" t="s">
        <v>596</v>
      </c>
      <c r="I5" s="924"/>
      <c r="J5" s="924"/>
      <c r="K5" s="924"/>
      <c r="L5" s="924"/>
      <c r="M5" s="924" t="s">
        <v>907</v>
      </c>
      <c r="N5" s="924"/>
      <c r="O5" s="924"/>
      <c r="P5" s="924"/>
      <c r="Q5" s="924"/>
      <c r="R5" s="923" t="s">
        <v>715</v>
      </c>
      <c r="S5" s="923" t="s">
        <v>719</v>
      </c>
      <c r="T5" s="923" t="s">
        <v>718</v>
      </c>
      <c r="U5" s="923" t="s">
        <v>955</v>
      </c>
      <c r="V5" s="923" t="s">
        <v>956</v>
      </c>
    </row>
    <row r="6" spans="1:22" ht="36" customHeight="1">
      <c r="A6" s="922"/>
      <c r="B6" s="922"/>
      <c r="C6" s="564"/>
      <c r="D6" s="489" t="s">
        <v>892</v>
      </c>
      <c r="E6" s="489" t="s">
        <v>891</v>
      </c>
      <c r="F6" s="489" t="s">
        <v>890</v>
      </c>
      <c r="G6" s="489" t="s">
        <v>889</v>
      </c>
      <c r="H6" s="564"/>
      <c r="I6" s="489" t="s">
        <v>892</v>
      </c>
      <c r="J6" s="489" t="s">
        <v>891</v>
      </c>
      <c r="K6" s="489" t="s">
        <v>890</v>
      </c>
      <c r="L6" s="489" t="s">
        <v>889</v>
      </c>
      <c r="M6" s="564"/>
      <c r="N6" s="489" t="s">
        <v>892</v>
      </c>
      <c r="O6" s="489" t="s">
        <v>891</v>
      </c>
      <c r="P6" s="489" t="s">
        <v>890</v>
      </c>
      <c r="Q6" s="489" t="s">
        <v>889</v>
      </c>
      <c r="R6" s="923"/>
      <c r="S6" s="923"/>
      <c r="T6" s="923"/>
      <c r="U6" s="923"/>
      <c r="V6" s="923"/>
    </row>
    <row r="7" spans="1:22">
      <c r="A7" s="562">
        <v>1</v>
      </c>
      <c r="B7" s="563" t="s">
        <v>690</v>
      </c>
      <c r="C7" s="778">
        <v>103147.48237300001</v>
      </c>
      <c r="D7" s="778">
        <v>103147.48237300001</v>
      </c>
      <c r="E7" s="778">
        <v>0</v>
      </c>
      <c r="F7" s="778">
        <v>0</v>
      </c>
      <c r="G7" s="778"/>
      <c r="H7" s="778">
        <v>105295.62667300001</v>
      </c>
      <c r="I7" s="778">
        <v>105295.62667300001</v>
      </c>
      <c r="J7" s="778">
        <v>0</v>
      </c>
      <c r="K7" s="778">
        <v>0</v>
      </c>
      <c r="L7" s="778"/>
      <c r="M7" s="778">
        <v>3281.4702528906996</v>
      </c>
      <c r="N7" s="778">
        <v>3281.4702528906996</v>
      </c>
      <c r="O7" s="778">
        <v>0</v>
      </c>
      <c r="P7" s="778">
        <v>0</v>
      </c>
      <c r="Q7" s="778"/>
      <c r="R7" s="778">
        <v>1</v>
      </c>
      <c r="S7" s="778">
        <v>0</v>
      </c>
      <c r="T7" s="778">
        <v>0</v>
      </c>
      <c r="U7" s="778">
        <v>6.0056323794690315E-2</v>
      </c>
      <c r="V7" s="778">
        <v>36.655021278153548</v>
      </c>
    </row>
    <row r="8" spans="1:22">
      <c r="A8" s="562">
        <v>2</v>
      </c>
      <c r="B8" s="561" t="s">
        <v>691</v>
      </c>
      <c r="C8" s="778">
        <v>264649.08341000002</v>
      </c>
      <c r="D8" s="778">
        <v>77604.29032</v>
      </c>
      <c r="E8" s="778">
        <v>600.48</v>
      </c>
      <c r="F8" s="778">
        <v>186444.31309000001</v>
      </c>
      <c r="G8" s="778"/>
      <c r="H8" s="778">
        <v>340669.72341000004</v>
      </c>
      <c r="I8" s="778">
        <v>93506.41032000001</v>
      </c>
      <c r="J8" s="778">
        <v>621.16</v>
      </c>
      <c r="K8" s="778">
        <v>246542.15309000001</v>
      </c>
      <c r="L8" s="778"/>
      <c r="M8" s="778">
        <v>230837.80524169054</v>
      </c>
      <c r="N8" s="778">
        <v>1809.2463079418997</v>
      </c>
      <c r="O8" s="778">
        <v>158.89285655450001</v>
      </c>
      <c r="P8" s="778">
        <v>228869.66607719415</v>
      </c>
      <c r="Q8" s="778"/>
      <c r="R8" s="778">
        <v>55</v>
      </c>
      <c r="S8" s="778">
        <v>0.15</v>
      </c>
      <c r="T8" s="778">
        <v>0.16070399999999999</v>
      </c>
      <c r="U8" s="778">
        <v>0.13101300391161627</v>
      </c>
      <c r="V8" s="778">
        <v>20.241493149292268</v>
      </c>
    </row>
    <row r="9" spans="1:22">
      <c r="A9" s="562">
        <v>3</v>
      </c>
      <c r="B9" s="561" t="s">
        <v>692</v>
      </c>
      <c r="C9" s="778">
        <v>92.83</v>
      </c>
      <c r="D9" s="778">
        <v>0</v>
      </c>
      <c r="E9" s="778">
        <v>0</v>
      </c>
      <c r="F9" s="778">
        <v>92.83</v>
      </c>
      <c r="G9" s="778"/>
      <c r="H9" s="778">
        <v>92.83</v>
      </c>
      <c r="I9" s="778">
        <v>0</v>
      </c>
      <c r="J9" s="778">
        <v>0</v>
      </c>
      <c r="K9" s="778">
        <v>92.83</v>
      </c>
      <c r="L9" s="778"/>
      <c r="M9" s="778">
        <v>81.446281844300003</v>
      </c>
      <c r="N9" s="778">
        <v>0</v>
      </c>
      <c r="O9" s="778">
        <v>0</v>
      </c>
      <c r="P9" s="778">
        <v>81.446281844300003</v>
      </c>
      <c r="Q9" s="778"/>
      <c r="R9" s="778">
        <v>1</v>
      </c>
      <c r="S9" s="778" t="s">
        <v>985</v>
      </c>
      <c r="T9" s="778" t="s">
        <v>985</v>
      </c>
      <c r="U9" s="778">
        <v>0</v>
      </c>
      <c r="V9" s="778">
        <v>0</v>
      </c>
    </row>
    <row r="10" spans="1:22">
      <c r="A10" s="562">
        <v>4</v>
      </c>
      <c r="B10" s="561" t="s">
        <v>693</v>
      </c>
      <c r="C10" s="778">
        <v>0</v>
      </c>
      <c r="D10" s="778">
        <v>0</v>
      </c>
      <c r="E10" s="778">
        <v>0</v>
      </c>
      <c r="F10" s="778">
        <v>0</v>
      </c>
      <c r="G10" s="778"/>
      <c r="H10" s="778">
        <v>0</v>
      </c>
      <c r="I10" s="778">
        <v>0</v>
      </c>
      <c r="J10" s="778">
        <v>0</v>
      </c>
      <c r="K10" s="778">
        <v>0</v>
      </c>
      <c r="L10" s="778"/>
      <c r="M10" s="778">
        <v>0</v>
      </c>
      <c r="N10" s="778">
        <v>0</v>
      </c>
      <c r="O10" s="778">
        <v>0</v>
      </c>
      <c r="P10" s="778">
        <v>0</v>
      </c>
      <c r="Q10" s="778"/>
      <c r="R10" s="778">
        <v>0</v>
      </c>
      <c r="S10" s="778" t="s">
        <v>985</v>
      </c>
      <c r="T10" s="778" t="s">
        <v>985</v>
      </c>
      <c r="U10" s="778">
        <v>0</v>
      </c>
      <c r="V10" s="778">
        <v>0</v>
      </c>
    </row>
    <row r="11" spans="1:22">
      <c r="A11" s="562">
        <v>5</v>
      </c>
      <c r="B11" s="561" t="s">
        <v>694</v>
      </c>
      <c r="C11" s="778">
        <v>0</v>
      </c>
      <c r="D11" s="778">
        <v>0</v>
      </c>
      <c r="E11" s="778">
        <v>0</v>
      </c>
      <c r="F11" s="778">
        <v>0</v>
      </c>
      <c r="G11" s="778"/>
      <c r="H11" s="778">
        <v>0</v>
      </c>
      <c r="I11" s="778">
        <v>0</v>
      </c>
      <c r="J11" s="778">
        <v>0</v>
      </c>
      <c r="K11" s="778">
        <v>0</v>
      </c>
      <c r="L11" s="778"/>
      <c r="M11" s="778">
        <v>0</v>
      </c>
      <c r="N11" s="778">
        <v>0</v>
      </c>
      <c r="O11" s="778">
        <v>0</v>
      </c>
      <c r="P11" s="778">
        <v>0</v>
      </c>
      <c r="Q11" s="778"/>
      <c r="R11" s="778">
        <v>0</v>
      </c>
      <c r="S11" s="778">
        <v>0</v>
      </c>
      <c r="T11" s="778">
        <v>0</v>
      </c>
      <c r="U11" s="778">
        <v>0</v>
      </c>
      <c r="V11" s="778">
        <v>0</v>
      </c>
    </row>
    <row r="12" spans="1:22">
      <c r="A12" s="562">
        <v>6</v>
      </c>
      <c r="B12" s="561" t="s">
        <v>695</v>
      </c>
      <c r="C12" s="778">
        <v>0</v>
      </c>
      <c r="D12" s="778">
        <v>0</v>
      </c>
      <c r="E12" s="778">
        <v>0</v>
      </c>
      <c r="F12" s="778">
        <v>0</v>
      </c>
      <c r="G12" s="778"/>
      <c r="H12" s="778">
        <v>0</v>
      </c>
      <c r="I12" s="778">
        <v>0</v>
      </c>
      <c r="J12" s="778">
        <v>0</v>
      </c>
      <c r="K12" s="778">
        <v>0</v>
      </c>
      <c r="L12" s="778"/>
      <c r="M12" s="778">
        <v>0</v>
      </c>
      <c r="N12" s="778">
        <v>0</v>
      </c>
      <c r="O12" s="778">
        <v>0</v>
      </c>
      <c r="P12" s="778">
        <v>0</v>
      </c>
      <c r="Q12" s="778"/>
      <c r="R12" s="778">
        <v>0</v>
      </c>
      <c r="S12" s="778">
        <v>0</v>
      </c>
      <c r="T12" s="778">
        <v>0</v>
      </c>
      <c r="U12" s="778">
        <v>0</v>
      </c>
      <c r="V12" s="778">
        <v>0</v>
      </c>
    </row>
    <row r="13" spans="1:22">
      <c r="A13" s="562">
        <v>7</v>
      </c>
      <c r="B13" s="561" t="s">
        <v>696</v>
      </c>
      <c r="C13" s="778">
        <v>6850323.7652140027</v>
      </c>
      <c r="D13" s="778">
        <v>6744027.6581940027</v>
      </c>
      <c r="E13" s="778">
        <v>0</v>
      </c>
      <c r="F13" s="778">
        <v>106296.10702</v>
      </c>
      <c r="G13" s="778"/>
      <c r="H13" s="778">
        <v>6977723.139614</v>
      </c>
      <c r="I13" s="778">
        <v>6828214.6225939998</v>
      </c>
      <c r="J13" s="778">
        <v>0</v>
      </c>
      <c r="K13" s="778">
        <v>149508.51702</v>
      </c>
      <c r="L13" s="778"/>
      <c r="M13" s="778">
        <v>46912.420445909498</v>
      </c>
      <c r="N13" s="778">
        <v>15112.101560695201</v>
      </c>
      <c r="O13" s="778">
        <v>0</v>
      </c>
      <c r="P13" s="778">
        <v>31800.318885214299</v>
      </c>
      <c r="Q13" s="778"/>
      <c r="R13" s="778">
        <v>113</v>
      </c>
      <c r="S13" s="778">
        <v>0</v>
      </c>
      <c r="T13" s="778">
        <v>0</v>
      </c>
      <c r="U13" s="778">
        <v>7.1090257963126582E-2</v>
      </c>
      <c r="V13" s="778">
        <v>106.94373793823402</v>
      </c>
    </row>
    <row r="14" spans="1:22">
      <c r="A14" s="556">
        <v>7.1</v>
      </c>
      <c r="B14" s="555" t="s">
        <v>697</v>
      </c>
      <c r="C14" s="778">
        <v>6699183.139460003</v>
      </c>
      <c r="D14" s="778">
        <v>6592887.032440003</v>
      </c>
      <c r="E14" s="778">
        <v>0</v>
      </c>
      <c r="F14" s="778">
        <v>106296.10702</v>
      </c>
      <c r="G14" s="778"/>
      <c r="H14" s="778">
        <v>6824839.96856</v>
      </c>
      <c r="I14" s="778">
        <v>6675331.4515399998</v>
      </c>
      <c r="J14" s="778">
        <v>0</v>
      </c>
      <c r="K14" s="778">
        <v>149508.51702</v>
      </c>
      <c r="L14" s="778"/>
      <c r="M14" s="778">
        <v>46672.218306948896</v>
      </c>
      <c r="N14" s="778">
        <v>14871.899421734601</v>
      </c>
      <c r="O14" s="778">
        <v>0</v>
      </c>
      <c r="P14" s="778">
        <v>31800.318885214299</v>
      </c>
      <c r="Q14" s="778"/>
      <c r="R14" s="778">
        <v>111</v>
      </c>
      <c r="S14" s="778">
        <v>0</v>
      </c>
      <c r="T14" s="778">
        <v>0</v>
      </c>
      <c r="U14" s="778">
        <v>7.0768009446927072E-2</v>
      </c>
      <c r="V14" s="778">
        <v>108.37206675735209</v>
      </c>
    </row>
    <row r="15" spans="1:22" ht="25.5">
      <c r="A15" s="556">
        <v>7.2</v>
      </c>
      <c r="B15" s="555" t="s">
        <v>698</v>
      </c>
      <c r="C15" s="778">
        <v>151140.62575399998</v>
      </c>
      <c r="D15" s="778">
        <v>151140.62575399998</v>
      </c>
      <c r="E15" s="778">
        <v>0</v>
      </c>
      <c r="F15" s="778">
        <v>0</v>
      </c>
      <c r="G15" s="778"/>
      <c r="H15" s="778">
        <v>152883.17105399998</v>
      </c>
      <c r="I15" s="778">
        <v>152883.17105399998</v>
      </c>
      <c r="J15" s="778">
        <v>0</v>
      </c>
      <c r="K15" s="778">
        <v>0</v>
      </c>
      <c r="L15" s="778"/>
      <c r="M15" s="778">
        <v>240.2021389606</v>
      </c>
      <c r="N15" s="778">
        <v>240.2021389606</v>
      </c>
      <c r="O15" s="778">
        <v>0</v>
      </c>
      <c r="P15" s="778">
        <v>0</v>
      </c>
      <c r="Q15" s="778"/>
      <c r="R15" s="778">
        <v>2</v>
      </c>
      <c r="S15" s="778" t="s">
        <v>985</v>
      </c>
      <c r="T15" s="778" t="s">
        <v>985</v>
      </c>
      <c r="U15" s="778">
        <v>8.5373656722858376E-2</v>
      </c>
      <c r="V15" s="778">
        <v>43.634245239595181</v>
      </c>
    </row>
    <row r="16" spans="1:22">
      <c r="A16" s="556">
        <v>7.3</v>
      </c>
      <c r="B16" s="555" t="s">
        <v>699</v>
      </c>
      <c r="C16" s="778"/>
      <c r="D16" s="778"/>
      <c r="E16" s="778"/>
      <c r="F16" s="778"/>
      <c r="G16" s="778"/>
      <c r="H16" s="778"/>
      <c r="I16" s="778"/>
      <c r="J16" s="778"/>
      <c r="K16" s="778"/>
      <c r="L16" s="778"/>
      <c r="M16" s="778"/>
      <c r="N16" s="778"/>
      <c r="O16" s="778"/>
      <c r="P16" s="778"/>
      <c r="Q16" s="778"/>
      <c r="R16" s="778"/>
      <c r="S16" s="778" t="s">
        <v>985</v>
      </c>
      <c r="T16" s="778" t="s">
        <v>985</v>
      </c>
      <c r="U16" s="778"/>
      <c r="V16" s="778"/>
    </row>
    <row r="17" spans="1:22">
      <c r="A17" s="562">
        <v>8</v>
      </c>
      <c r="B17" s="561" t="s">
        <v>700</v>
      </c>
      <c r="C17" s="778">
        <v>0</v>
      </c>
      <c r="D17" s="778">
        <v>0</v>
      </c>
      <c r="E17" s="778">
        <v>0</v>
      </c>
      <c r="F17" s="778">
        <v>0</v>
      </c>
      <c r="G17" s="778"/>
      <c r="H17" s="778">
        <v>0</v>
      </c>
      <c r="I17" s="778">
        <v>0</v>
      </c>
      <c r="J17" s="778">
        <v>0</v>
      </c>
      <c r="K17" s="778">
        <v>0</v>
      </c>
      <c r="L17" s="778"/>
      <c r="M17" s="778">
        <v>0</v>
      </c>
      <c r="N17" s="778">
        <v>0</v>
      </c>
      <c r="O17" s="778">
        <v>0</v>
      </c>
      <c r="P17" s="778">
        <v>0</v>
      </c>
      <c r="Q17" s="778"/>
      <c r="R17" s="778">
        <v>0</v>
      </c>
      <c r="S17" s="778">
        <v>0</v>
      </c>
      <c r="T17" s="778">
        <v>0</v>
      </c>
      <c r="U17" s="778">
        <v>0</v>
      </c>
      <c r="V17" s="778">
        <v>0</v>
      </c>
    </row>
    <row r="18" spans="1:22">
      <c r="A18" s="560">
        <v>9</v>
      </c>
      <c r="B18" s="559" t="s">
        <v>701</v>
      </c>
      <c r="C18" s="779">
        <v>0</v>
      </c>
      <c r="D18" s="779">
        <v>0</v>
      </c>
      <c r="E18" s="779">
        <v>0</v>
      </c>
      <c r="F18" s="779">
        <v>0</v>
      </c>
      <c r="G18" s="779"/>
      <c r="H18" s="779">
        <v>0</v>
      </c>
      <c r="I18" s="779">
        <v>0</v>
      </c>
      <c r="J18" s="779">
        <v>0</v>
      </c>
      <c r="K18" s="779">
        <v>0</v>
      </c>
      <c r="L18" s="779"/>
      <c r="M18" s="779">
        <v>0</v>
      </c>
      <c r="N18" s="779">
        <v>0</v>
      </c>
      <c r="O18" s="779">
        <v>0</v>
      </c>
      <c r="P18" s="779">
        <v>0</v>
      </c>
      <c r="Q18" s="779"/>
      <c r="R18" s="779">
        <v>0</v>
      </c>
      <c r="S18" s="779">
        <v>0</v>
      </c>
      <c r="T18" s="779">
        <v>0</v>
      </c>
      <c r="U18" s="779">
        <v>0</v>
      </c>
      <c r="V18" s="779">
        <v>0</v>
      </c>
    </row>
    <row r="19" spans="1:22">
      <c r="A19" s="558">
        <v>10</v>
      </c>
      <c r="B19" s="557" t="s">
        <v>717</v>
      </c>
      <c r="C19" s="778">
        <v>7218213.1609970024</v>
      </c>
      <c r="D19" s="778">
        <v>6924779.4308870025</v>
      </c>
      <c r="E19" s="778">
        <v>600.48</v>
      </c>
      <c r="F19" s="778">
        <v>292833.25011000002</v>
      </c>
      <c r="G19" s="778">
        <v>0</v>
      </c>
      <c r="H19" s="778">
        <v>7423781.3196970001</v>
      </c>
      <c r="I19" s="778">
        <v>7027016.6595869996</v>
      </c>
      <c r="J19" s="778">
        <v>621.16</v>
      </c>
      <c r="K19" s="778">
        <v>396143.50011000002</v>
      </c>
      <c r="L19" s="778">
        <v>0</v>
      </c>
      <c r="M19" s="778">
        <v>281113.14222233504</v>
      </c>
      <c r="N19" s="778">
        <v>20202.818121527802</v>
      </c>
      <c r="O19" s="778">
        <v>158.89285655450001</v>
      </c>
      <c r="P19" s="778">
        <v>260751.43124425277</v>
      </c>
      <c r="Q19" s="778">
        <v>0</v>
      </c>
      <c r="R19" s="778">
        <v>170</v>
      </c>
      <c r="S19" s="778">
        <v>0.15</v>
      </c>
      <c r="T19" s="778">
        <v>0.16070399999999999</v>
      </c>
      <c r="U19" s="778">
        <v>7.312868182561269E-2</v>
      </c>
      <c r="V19" s="778">
        <v>102.75908715428297</v>
      </c>
    </row>
    <row r="20" spans="1:22" ht="25.5">
      <c r="A20" s="556">
        <v>10.1</v>
      </c>
      <c r="B20" s="555" t="s">
        <v>720</v>
      </c>
      <c r="C20" s="550"/>
      <c r="D20" s="550"/>
      <c r="E20" s="550"/>
      <c r="F20" s="550"/>
      <c r="G20" s="550"/>
      <c r="H20" s="550"/>
      <c r="I20" s="550"/>
      <c r="J20" s="550"/>
      <c r="K20" s="550"/>
      <c r="L20" s="550"/>
      <c r="M20" s="550"/>
      <c r="N20" s="550"/>
      <c r="O20" s="550"/>
      <c r="P20" s="550"/>
      <c r="Q20" s="550"/>
      <c r="R20" s="550"/>
      <c r="S20" s="550"/>
      <c r="T20" s="550"/>
      <c r="U20" s="550"/>
      <c r="V20" s="550"/>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02"/>
  <sheetViews>
    <sheetView topLeftCell="A42" zoomScale="80" zoomScaleNormal="80" workbookViewId="0">
      <selection activeCell="F62" sqref="F62"/>
    </sheetView>
  </sheetViews>
  <sheetFormatPr defaultRowHeight="15"/>
  <cols>
    <col min="1" max="1" width="8.7109375" style="454"/>
    <col min="2" max="2" width="69.28515625" style="429" customWidth="1"/>
    <col min="3" max="3" width="13.7109375" customWidth="1"/>
    <col min="4" max="4" width="14.42578125" customWidth="1"/>
    <col min="5" max="5" width="14.85546875" bestFit="1" customWidth="1"/>
    <col min="6" max="7" width="13.28515625" customWidth="1"/>
    <col min="8" max="8" width="14.85546875" bestFit="1" customWidth="1"/>
  </cols>
  <sheetData>
    <row r="1" spans="1:8" ht="15.75">
      <c r="A1" s="17" t="s">
        <v>108</v>
      </c>
      <c r="B1" s="305" t="str">
        <f>Info!C2</f>
        <v>JSC "VTB Bank (Georgia)"</v>
      </c>
      <c r="C1" s="16"/>
      <c r="D1" s="226"/>
      <c r="E1" s="226"/>
      <c r="F1" s="226"/>
      <c r="G1" s="226"/>
    </row>
    <row r="2" spans="1:8" ht="15.75">
      <c r="A2" s="17" t="s">
        <v>109</v>
      </c>
      <c r="B2" s="336">
        <f>Info!D2</f>
        <v>45747</v>
      </c>
      <c r="C2" s="29"/>
      <c r="D2" s="18"/>
      <c r="E2" s="18"/>
      <c r="F2" s="18"/>
      <c r="G2" s="18"/>
      <c r="H2" s="1"/>
    </row>
    <row r="3" spans="1:8" ht="15.75">
      <c r="A3" s="17"/>
      <c r="B3" s="16"/>
      <c r="C3" s="29"/>
      <c r="D3" s="18"/>
      <c r="E3" s="18"/>
      <c r="F3" s="18"/>
      <c r="G3" s="18"/>
      <c r="H3" s="1"/>
    </row>
    <row r="4" spans="1:8" ht="21" customHeight="1">
      <c r="A4" s="811" t="s">
        <v>25</v>
      </c>
      <c r="B4" s="812" t="s">
        <v>729</v>
      </c>
      <c r="C4" s="814" t="s">
        <v>114</v>
      </c>
      <c r="D4" s="814"/>
      <c r="E4" s="814"/>
      <c r="F4" s="814" t="s">
        <v>115</v>
      </c>
      <c r="G4" s="814"/>
      <c r="H4" s="815"/>
    </row>
    <row r="5" spans="1:8" ht="21" customHeight="1">
      <c r="A5" s="811"/>
      <c r="B5" s="813"/>
      <c r="C5" s="400" t="s">
        <v>26</v>
      </c>
      <c r="D5" s="400" t="s">
        <v>88</v>
      </c>
      <c r="E5" s="400" t="s">
        <v>66</v>
      </c>
      <c r="F5" s="400" t="s">
        <v>26</v>
      </c>
      <c r="G5" s="400" t="s">
        <v>88</v>
      </c>
      <c r="H5" s="400" t="s">
        <v>66</v>
      </c>
    </row>
    <row r="6" spans="1:8" ht="26.85" customHeight="1">
      <c r="A6" s="811"/>
      <c r="B6" s="401" t="s">
        <v>95</v>
      </c>
      <c r="C6" s="816"/>
      <c r="D6" s="817"/>
      <c r="E6" s="817"/>
      <c r="F6" s="817"/>
      <c r="G6" s="817"/>
      <c r="H6" s="818"/>
    </row>
    <row r="7" spans="1:8" ht="23.1" customHeight="1">
      <c r="A7" s="445">
        <v>1</v>
      </c>
      <c r="B7" s="402" t="s">
        <v>843</v>
      </c>
      <c r="C7" s="695">
        <v>96017386.200000003</v>
      </c>
      <c r="D7" s="695">
        <v>86670153.273699999</v>
      </c>
      <c r="E7" s="674">
        <f>C7+D7</f>
        <v>182687539.47369999</v>
      </c>
      <c r="F7" s="695">
        <v>86800785.5</v>
      </c>
      <c r="G7" s="695">
        <v>71180206.137799978</v>
      </c>
      <c r="H7" s="674">
        <f>F7+G7</f>
        <v>157980991.63779998</v>
      </c>
    </row>
    <row r="8" spans="1:8">
      <c r="A8" s="445">
        <v>1.1000000000000001</v>
      </c>
      <c r="B8" s="403" t="s">
        <v>96</v>
      </c>
      <c r="C8" s="695">
        <v>96017034.840000004</v>
      </c>
      <c r="D8" s="695">
        <v>79771315.093899995</v>
      </c>
      <c r="E8" s="674">
        <f t="shared" ref="E8:E36" si="0">C8+D8</f>
        <v>175788349.9339</v>
      </c>
      <c r="F8" s="695">
        <v>86800434.140000001</v>
      </c>
      <c r="G8" s="695">
        <v>64586632.396199971</v>
      </c>
      <c r="H8" s="674">
        <f t="shared" ref="H8:H36" si="1">F8+G8</f>
        <v>151387066.53619999</v>
      </c>
    </row>
    <row r="9" spans="1:8">
      <c r="A9" s="445">
        <v>1.2</v>
      </c>
      <c r="B9" s="403" t="s">
        <v>97</v>
      </c>
      <c r="C9" s="695">
        <v>351.36</v>
      </c>
      <c r="D9" s="695">
        <v>0</v>
      </c>
      <c r="E9" s="674">
        <f t="shared" si="0"/>
        <v>351.36</v>
      </c>
      <c r="F9" s="695">
        <v>351.36</v>
      </c>
      <c r="G9" s="695">
        <v>0</v>
      </c>
      <c r="H9" s="674">
        <f t="shared" si="1"/>
        <v>351.36</v>
      </c>
    </row>
    <row r="10" spans="1:8">
      <c r="A10" s="445">
        <v>1.3</v>
      </c>
      <c r="B10" s="403" t="s">
        <v>98</v>
      </c>
      <c r="C10" s="695">
        <v>0</v>
      </c>
      <c r="D10" s="695">
        <v>6898838.1798</v>
      </c>
      <c r="E10" s="674">
        <f t="shared" si="0"/>
        <v>6898838.1798</v>
      </c>
      <c r="F10" s="695">
        <v>0</v>
      </c>
      <c r="G10" s="695">
        <v>6593573.7416000003</v>
      </c>
      <c r="H10" s="674">
        <f t="shared" si="1"/>
        <v>6593573.7416000003</v>
      </c>
    </row>
    <row r="11" spans="1:8">
      <c r="A11" s="445">
        <v>2</v>
      </c>
      <c r="B11" s="404" t="s">
        <v>730</v>
      </c>
      <c r="C11" s="695"/>
      <c r="D11" s="695"/>
      <c r="E11" s="674">
        <f t="shared" si="0"/>
        <v>0</v>
      </c>
      <c r="F11" s="695"/>
      <c r="G11" s="695"/>
      <c r="H11" s="674">
        <f t="shared" si="1"/>
        <v>0</v>
      </c>
    </row>
    <row r="12" spans="1:8">
      <c r="A12" s="445">
        <v>2.1</v>
      </c>
      <c r="B12" s="405" t="s">
        <v>731</v>
      </c>
      <c r="C12" s="695"/>
      <c r="D12" s="695"/>
      <c r="E12" s="674">
        <f t="shared" si="0"/>
        <v>0</v>
      </c>
      <c r="F12" s="695"/>
      <c r="G12" s="695"/>
      <c r="H12" s="674">
        <f t="shared" si="1"/>
        <v>0</v>
      </c>
    </row>
    <row r="13" spans="1:8" ht="26.85" customHeight="1">
      <c r="A13" s="445">
        <v>3</v>
      </c>
      <c r="B13" s="406" t="s">
        <v>732</v>
      </c>
      <c r="C13" s="695"/>
      <c r="D13" s="695"/>
      <c r="E13" s="674">
        <f t="shared" si="0"/>
        <v>0</v>
      </c>
      <c r="F13" s="695"/>
      <c r="G13" s="695"/>
      <c r="H13" s="674">
        <f t="shared" si="1"/>
        <v>0</v>
      </c>
    </row>
    <row r="14" spans="1:8" ht="26.85" customHeight="1">
      <c r="A14" s="445">
        <v>4</v>
      </c>
      <c r="B14" s="407" t="s">
        <v>733</v>
      </c>
      <c r="C14" s="695"/>
      <c r="D14" s="695"/>
      <c r="E14" s="674">
        <f t="shared" si="0"/>
        <v>0</v>
      </c>
      <c r="F14" s="695"/>
      <c r="G14" s="695"/>
      <c r="H14" s="674">
        <f t="shared" si="1"/>
        <v>0</v>
      </c>
    </row>
    <row r="15" spans="1:8" ht="24.6" customHeight="1">
      <c r="A15" s="445">
        <v>5</v>
      </c>
      <c r="B15" s="407" t="s">
        <v>734</v>
      </c>
      <c r="C15" s="673">
        <v>54000</v>
      </c>
      <c r="D15" s="673">
        <v>0</v>
      </c>
      <c r="E15" s="672">
        <f t="shared" si="0"/>
        <v>54000</v>
      </c>
      <c r="F15" s="673">
        <v>54000</v>
      </c>
      <c r="G15" s="673">
        <v>0</v>
      </c>
      <c r="H15" s="672">
        <f t="shared" si="1"/>
        <v>54000</v>
      </c>
    </row>
    <row r="16" spans="1:8">
      <c r="A16" s="445">
        <v>5.0999999999999996</v>
      </c>
      <c r="B16" s="408" t="s">
        <v>735</v>
      </c>
      <c r="C16" s="695">
        <v>54000</v>
      </c>
      <c r="D16" s="695">
        <v>0</v>
      </c>
      <c r="E16" s="674">
        <f t="shared" si="0"/>
        <v>54000</v>
      </c>
      <c r="F16" s="695">
        <v>54000</v>
      </c>
      <c r="G16" s="695">
        <v>0</v>
      </c>
      <c r="H16" s="674">
        <f t="shared" si="1"/>
        <v>54000</v>
      </c>
    </row>
    <row r="17" spans="1:8">
      <c r="A17" s="445">
        <v>5.2</v>
      </c>
      <c r="B17" s="408" t="s">
        <v>569</v>
      </c>
      <c r="C17" s="695"/>
      <c r="D17" s="695"/>
      <c r="E17" s="674">
        <f t="shared" si="0"/>
        <v>0</v>
      </c>
      <c r="F17" s="695"/>
      <c r="G17" s="695"/>
      <c r="H17" s="674">
        <f t="shared" si="1"/>
        <v>0</v>
      </c>
    </row>
    <row r="18" spans="1:8">
      <c r="A18" s="445">
        <v>5.3</v>
      </c>
      <c r="B18" s="408" t="s">
        <v>736</v>
      </c>
      <c r="C18" s="695"/>
      <c r="D18" s="695"/>
      <c r="E18" s="674">
        <f t="shared" si="0"/>
        <v>0</v>
      </c>
      <c r="F18" s="695"/>
      <c r="G18" s="695"/>
      <c r="H18" s="674">
        <f t="shared" si="1"/>
        <v>0</v>
      </c>
    </row>
    <row r="19" spans="1:8">
      <c r="A19" s="445">
        <v>6</v>
      </c>
      <c r="B19" s="406" t="s">
        <v>737</v>
      </c>
      <c r="C19" s="695">
        <v>55012321.929386392</v>
      </c>
      <c r="D19" s="695">
        <v>108909402.12445731</v>
      </c>
      <c r="E19" s="674">
        <f t="shared" si="0"/>
        <v>163921724.05384371</v>
      </c>
      <c r="F19" s="695">
        <v>76943002.81101042</v>
      </c>
      <c r="G19" s="695">
        <v>115490159.93205863</v>
      </c>
      <c r="H19" s="674">
        <f t="shared" si="1"/>
        <v>192433162.74306905</v>
      </c>
    </row>
    <row r="20" spans="1:8">
      <c r="A20" s="445">
        <v>6.1</v>
      </c>
      <c r="B20" s="408" t="s">
        <v>569</v>
      </c>
      <c r="C20" s="695"/>
      <c r="D20" s="695"/>
      <c r="E20" s="674">
        <f t="shared" si="0"/>
        <v>0</v>
      </c>
      <c r="F20" s="695"/>
      <c r="G20" s="695"/>
      <c r="H20" s="674">
        <f t="shared" si="1"/>
        <v>0</v>
      </c>
    </row>
    <row r="21" spans="1:8">
      <c r="A21" s="445">
        <v>6.2</v>
      </c>
      <c r="B21" s="408" t="s">
        <v>736</v>
      </c>
      <c r="C21" s="695">
        <v>55012321.929386392</v>
      </c>
      <c r="D21" s="695">
        <v>108909402.12445731</v>
      </c>
      <c r="E21" s="674">
        <f t="shared" si="0"/>
        <v>163921724.05384371</v>
      </c>
      <c r="F21" s="695">
        <v>76943002.81101042</v>
      </c>
      <c r="G21" s="695">
        <v>115490159.93205863</v>
      </c>
      <c r="H21" s="674">
        <f t="shared" si="1"/>
        <v>192433162.74306905</v>
      </c>
    </row>
    <row r="22" spans="1:8">
      <c r="A22" s="445">
        <v>7</v>
      </c>
      <c r="B22" s="409" t="s">
        <v>738</v>
      </c>
      <c r="C22" s="695"/>
      <c r="D22" s="695"/>
      <c r="E22" s="674">
        <f t="shared" si="0"/>
        <v>0</v>
      </c>
      <c r="F22" s="695">
        <v>0</v>
      </c>
      <c r="G22" s="695"/>
      <c r="H22" s="674">
        <f t="shared" si="1"/>
        <v>0</v>
      </c>
    </row>
    <row r="23" spans="1:8" ht="21">
      <c r="A23" s="445">
        <v>8</v>
      </c>
      <c r="B23" s="410" t="s">
        <v>739</v>
      </c>
      <c r="C23" s="695"/>
      <c r="D23" s="695"/>
      <c r="E23" s="674">
        <f t="shared" si="0"/>
        <v>0</v>
      </c>
      <c r="F23" s="695"/>
      <c r="G23" s="695"/>
      <c r="H23" s="674">
        <f t="shared" si="1"/>
        <v>0</v>
      </c>
    </row>
    <row r="24" spans="1:8">
      <c r="A24" s="445">
        <v>9</v>
      </c>
      <c r="B24" s="407" t="s">
        <v>740</v>
      </c>
      <c r="C24" s="695">
        <v>61637118.220000014</v>
      </c>
      <c r="D24" s="695">
        <v>0</v>
      </c>
      <c r="E24" s="674">
        <f t="shared" si="0"/>
        <v>61637118.220000014</v>
      </c>
      <c r="F24" s="695">
        <v>62552387.68</v>
      </c>
      <c r="G24" s="695">
        <v>0</v>
      </c>
      <c r="H24" s="674">
        <f t="shared" si="1"/>
        <v>62552387.68</v>
      </c>
    </row>
    <row r="25" spans="1:8">
      <c r="A25" s="445">
        <v>9.1</v>
      </c>
      <c r="B25" s="411" t="s">
        <v>741</v>
      </c>
      <c r="C25" s="695">
        <v>33736792.219999999</v>
      </c>
      <c r="D25" s="695"/>
      <c r="E25" s="674">
        <f t="shared" si="0"/>
        <v>33736792.219999999</v>
      </c>
      <c r="F25" s="695">
        <v>34267657</v>
      </c>
      <c r="G25" s="695"/>
      <c r="H25" s="674">
        <f t="shared" si="1"/>
        <v>34267657</v>
      </c>
    </row>
    <row r="26" spans="1:8">
      <c r="A26" s="445">
        <v>9.1999999999999993</v>
      </c>
      <c r="B26" s="411" t="s">
        <v>742</v>
      </c>
      <c r="C26" s="695">
        <v>27900326.000000019</v>
      </c>
      <c r="D26" s="695"/>
      <c r="E26" s="674">
        <f t="shared" si="0"/>
        <v>27900326.000000019</v>
      </c>
      <c r="F26" s="695">
        <v>28284730.68</v>
      </c>
      <c r="G26" s="695"/>
      <c r="H26" s="674">
        <f t="shared" si="1"/>
        <v>28284730.68</v>
      </c>
    </row>
    <row r="27" spans="1:8">
      <c r="A27" s="445">
        <v>10</v>
      </c>
      <c r="B27" s="407" t="s">
        <v>36</v>
      </c>
      <c r="C27" s="695">
        <v>961591.24000000022</v>
      </c>
      <c r="D27" s="695">
        <v>0</v>
      </c>
      <c r="E27" s="674">
        <f t="shared" si="0"/>
        <v>961591.24000000022</v>
      </c>
      <c r="F27" s="695">
        <v>1174086.74</v>
      </c>
      <c r="G27" s="695">
        <v>0</v>
      </c>
      <c r="H27" s="674">
        <f t="shared" si="1"/>
        <v>1174086.74</v>
      </c>
    </row>
    <row r="28" spans="1:8">
      <c r="A28" s="445">
        <v>10.1</v>
      </c>
      <c r="B28" s="411" t="s">
        <v>743</v>
      </c>
      <c r="C28" s="695"/>
      <c r="D28" s="695"/>
      <c r="E28" s="674">
        <f t="shared" si="0"/>
        <v>0</v>
      </c>
      <c r="F28" s="695"/>
      <c r="G28" s="695"/>
      <c r="H28" s="674">
        <f t="shared" si="1"/>
        <v>0</v>
      </c>
    </row>
    <row r="29" spans="1:8">
      <c r="A29" s="445">
        <v>10.199999999999999</v>
      </c>
      <c r="B29" s="411" t="s">
        <v>744</v>
      </c>
      <c r="C29" s="695">
        <v>961591.24000000022</v>
      </c>
      <c r="D29" s="695"/>
      <c r="E29" s="674">
        <f t="shared" si="0"/>
        <v>961591.24000000022</v>
      </c>
      <c r="F29" s="695">
        <v>1174086.74</v>
      </c>
      <c r="G29" s="695"/>
      <c r="H29" s="674">
        <f t="shared" si="1"/>
        <v>1174086.74</v>
      </c>
    </row>
    <row r="30" spans="1:8">
      <c r="A30" s="445">
        <v>11</v>
      </c>
      <c r="B30" s="407" t="s">
        <v>745</v>
      </c>
      <c r="C30" s="695">
        <v>2427219.54</v>
      </c>
      <c r="D30" s="695">
        <v>0</v>
      </c>
      <c r="E30" s="674">
        <f t="shared" si="0"/>
        <v>2427219.54</v>
      </c>
      <c r="F30" s="695">
        <v>487734.6</v>
      </c>
      <c r="G30" s="695">
        <v>0</v>
      </c>
      <c r="H30" s="674">
        <f t="shared" si="1"/>
        <v>487734.6</v>
      </c>
    </row>
    <row r="31" spans="1:8">
      <c r="A31" s="445">
        <v>11.1</v>
      </c>
      <c r="B31" s="411" t="s">
        <v>746</v>
      </c>
      <c r="C31" s="695">
        <v>2144074.54</v>
      </c>
      <c r="D31" s="695"/>
      <c r="E31" s="674">
        <f t="shared" si="0"/>
        <v>2144074.54</v>
      </c>
      <c r="F31" s="695">
        <v>487734.6</v>
      </c>
      <c r="G31" s="695"/>
      <c r="H31" s="674">
        <f t="shared" si="1"/>
        <v>487734.6</v>
      </c>
    </row>
    <row r="32" spans="1:8">
      <c r="A32" s="445">
        <v>11.2</v>
      </c>
      <c r="B32" s="411" t="s">
        <v>747</v>
      </c>
      <c r="C32" s="695">
        <v>283145</v>
      </c>
      <c r="D32" s="695"/>
      <c r="E32" s="674">
        <f t="shared" si="0"/>
        <v>283145</v>
      </c>
      <c r="F32" s="695">
        <v>0</v>
      </c>
      <c r="G32" s="695"/>
      <c r="H32" s="674">
        <f t="shared" si="1"/>
        <v>0</v>
      </c>
    </row>
    <row r="33" spans="1:8">
      <c r="A33" s="445">
        <v>13</v>
      </c>
      <c r="B33" s="407" t="s">
        <v>99</v>
      </c>
      <c r="C33" s="695">
        <v>36816827.879999988</v>
      </c>
      <c r="D33" s="695">
        <v>684987.99222601671</v>
      </c>
      <c r="E33" s="674">
        <f t="shared" si="0"/>
        <v>37501815.872226007</v>
      </c>
      <c r="F33" s="695">
        <v>36602210.769999973</v>
      </c>
      <c r="G33" s="695">
        <v>3422709.7996999724</v>
      </c>
      <c r="H33" s="674">
        <f t="shared" si="1"/>
        <v>40024920.569699943</v>
      </c>
    </row>
    <row r="34" spans="1:8">
      <c r="A34" s="445">
        <v>13.1</v>
      </c>
      <c r="B34" s="412" t="s">
        <v>748</v>
      </c>
      <c r="C34" s="695">
        <v>21733569</v>
      </c>
      <c r="D34" s="695"/>
      <c r="E34" s="674">
        <f t="shared" si="0"/>
        <v>21733569</v>
      </c>
      <c r="F34" s="695">
        <v>22019563.32</v>
      </c>
      <c r="G34" s="695"/>
      <c r="H34" s="674">
        <f t="shared" si="1"/>
        <v>22019563.32</v>
      </c>
    </row>
    <row r="35" spans="1:8">
      <c r="A35" s="445">
        <v>13.2</v>
      </c>
      <c r="B35" s="412" t="s">
        <v>749</v>
      </c>
      <c r="C35" s="695"/>
      <c r="D35" s="695"/>
      <c r="E35" s="674">
        <f t="shared" si="0"/>
        <v>0</v>
      </c>
      <c r="F35" s="695"/>
      <c r="G35" s="695"/>
      <c r="H35" s="674">
        <f t="shared" si="1"/>
        <v>0</v>
      </c>
    </row>
    <row r="36" spans="1:8">
      <c r="A36" s="445">
        <v>14</v>
      </c>
      <c r="B36" s="413" t="s">
        <v>750</v>
      </c>
      <c r="C36" s="695">
        <v>252926465.00938639</v>
      </c>
      <c r="D36" s="695">
        <v>196264543.3903833</v>
      </c>
      <c r="E36" s="674">
        <f t="shared" si="0"/>
        <v>449191008.39976966</v>
      </c>
      <c r="F36" s="695">
        <v>264614208.10101041</v>
      </c>
      <c r="G36" s="695">
        <v>190093075.86955857</v>
      </c>
      <c r="H36" s="674">
        <f t="shared" si="1"/>
        <v>454707283.97056901</v>
      </c>
    </row>
    <row r="37" spans="1:8" ht="22.5" customHeight="1">
      <c r="A37" s="445"/>
      <c r="B37" s="414" t="s">
        <v>104</v>
      </c>
      <c r="C37" s="808"/>
      <c r="D37" s="809"/>
      <c r="E37" s="809"/>
      <c r="F37" s="809"/>
      <c r="G37" s="809"/>
      <c r="H37" s="810"/>
    </row>
    <row r="38" spans="1:8">
      <c r="A38" s="445">
        <v>15</v>
      </c>
      <c r="B38" s="415" t="s">
        <v>751</v>
      </c>
      <c r="C38" s="695"/>
      <c r="D38" s="695"/>
      <c r="E38" s="674">
        <f>C38+D38</f>
        <v>0</v>
      </c>
      <c r="F38" s="695"/>
      <c r="G38" s="695"/>
      <c r="H38" s="674">
        <f>F38+G38</f>
        <v>0</v>
      </c>
    </row>
    <row r="39" spans="1:8">
      <c r="A39" s="445">
        <v>15.1</v>
      </c>
      <c r="B39" s="416" t="s">
        <v>731</v>
      </c>
      <c r="C39" s="695"/>
      <c r="D39" s="695"/>
      <c r="E39" s="674">
        <f t="shared" ref="E39:E53" si="2">C39+D39</f>
        <v>0</v>
      </c>
      <c r="F39" s="695"/>
      <c r="G39" s="695"/>
      <c r="H39" s="674">
        <f t="shared" ref="H39:H53" si="3">F39+G39</f>
        <v>0</v>
      </c>
    </row>
    <row r="40" spans="1:8" ht="24" customHeight="1">
      <c r="A40" s="445">
        <v>16</v>
      </c>
      <c r="B40" s="409" t="s">
        <v>752</v>
      </c>
      <c r="C40" s="695"/>
      <c r="D40" s="695"/>
      <c r="E40" s="674">
        <f t="shared" si="2"/>
        <v>0</v>
      </c>
      <c r="F40" s="695"/>
      <c r="G40" s="695"/>
      <c r="H40" s="674">
        <f t="shared" si="3"/>
        <v>0</v>
      </c>
    </row>
    <row r="41" spans="1:8" ht="21">
      <c r="A41" s="445">
        <v>17</v>
      </c>
      <c r="B41" s="409" t="s">
        <v>753</v>
      </c>
      <c r="C41" s="695">
        <v>12054589.640000001</v>
      </c>
      <c r="D41" s="695">
        <v>942272.29999999993</v>
      </c>
      <c r="E41" s="674">
        <f t="shared" si="2"/>
        <v>12996861.940000001</v>
      </c>
      <c r="F41" s="695">
        <v>15589540.18</v>
      </c>
      <c r="G41" s="695">
        <v>1384416.5507</v>
      </c>
      <c r="H41" s="674">
        <f t="shared" si="3"/>
        <v>16973956.730700001</v>
      </c>
    </row>
    <row r="42" spans="1:8">
      <c r="A42" s="445">
        <v>17.100000000000001</v>
      </c>
      <c r="B42" s="417" t="s">
        <v>754</v>
      </c>
      <c r="C42" s="695">
        <v>12054589.640000001</v>
      </c>
      <c r="D42" s="695">
        <v>942272.29999999993</v>
      </c>
      <c r="E42" s="674">
        <f t="shared" si="2"/>
        <v>12996861.940000001</v>
      </c>
      <c r="F42" s="695">
        <v>15589540.18</v>
      </c>
      <c r="G42" s="695">
        <v>1384416.5507</v>
      </c>
      <c r="H42" s="674">
        <f t="shared" si="3"/>
        <v>16973956.730700001</v>
      </c>
    </row>
    <row r="43" spans="1:8">
      <c r="A43" s="445">
        <v>17.2</v>
      </c>
      <c r="B43" s="418" t="s">
        <v>100</v>
      </c>
      <c r="C43" s="695"/>
      <c r="D43" s="695"/>
      <c r="E43" s="674">
        <f t="shared" si="2"/>
        <v>0</v>
      </c>
      <c r="F43" s="695"/>
      <c r="G43" s="695"/>
      <c r="H43" s="674">
        <f t="shared" si="3"/>
        <v>0</v>
      </c>
    </row>
    <row r="44" spans="1:8">
      <c r="A44" s="445">
        <v>17.3</v>
      </c>
      <c r="B44" s="417" t="s">
        <v>755</v>
      </c>
      <c r="C44" s="695"/>
      <c r="D44" s="695"/>
      <c r="E44" s="674">
        <f t="shared" si="2"/>
        <v>0</v>
      </c>
      <c r="F44" s="695"/>
      <c r="G44" s="695"/>
      <c r="H44" s="674">
        <f t="shared" si="3"/>
        <v>0</v>
      </c>
    </row>
    <row r="45" spans="1:8">
      <c r="A45" s="445">
        <v>17.399999999999999</v>
      </c>
      <c r="B45" s="417" t="s">
        <v>756</v>
      </c>
      <c r="C45" s="695"/>
      <c r="D45" s="695"/>
      <c r="E45" s="674">
        <f t="shared" si="2"/>
        <v>0</v>
      </c>
      <c r="F45" s="695"/>
      <c r="G45" s="695"/>
      <c r="H45" s="674">
        <f t="shared" si="3"/>
        <v>0</v>
      </c>
    </row>
    <row r="46" spans="1:8">
      <c r="A46" s="445">
        <v>18</v>
      </c>
      <c r="B46" s="419" t="s">
        <v>757</v>
      </c>
      <c r="C46" s="695">
        <v>7907.7906829505173</v>
      </c>
      <c r="D46" s="695">
        <v>3.2093170494823302</v>
      </c>
      <c r="E46" s="674">
        <f t="shared" si="2"/>
        <v>7911</v>
      </c>
      <c r="F46" s="695">
        <v>8848</v>
      </c>
      <c r="G46" s="695">
        <v>35</v>
      </c>
      <c r="H46" s="674">
        <f t="shared" si="3"/>
        <v>8883</v>
      </c>
    </row>
    <row r="47" spans="1:8">
      <c r="A47" s="445">
        <v>19</v>
      </c>
      <c r="B47" s="419" t="s">
        <v>758</v>
      </c>
      <c r="C47" s="695">
        <v>231821.04</v>
      </c>
      <c r="D47" s="695">
        <v>0</v>
      </c>
      <c r="E47" s="674">
        <f t="shared" si="2"/>
        <v>231821.04</v>
      </c>
      <c r="F47" s="695">
        <v>375946.26</v>
      </c>
      <c r="G47" s="695">
        <v>0</v>
      </c>
      <c r="H47" s="674">
        <f t="shared" si="3"/>
        <v>375946.26</v>
      </c>
    </row>
    <row r="48" spans="1:8">
      <c r="A48" s="445">
        <v>19.100000000000001</v>
      </c>
      <c r="B48" s="420" t="s">
        <v>759</v>
      </c>
      <c r="C48" s="695">
        <v>231821.04</v>
      </c>
      <c r="D48" s="695">
        <v>0</v>
      </c>
      <c r="E48" s="674">
        <f t="shared" si="2"/>
        <v>231821.04</v>
      </c>
      <c r="F48" s="695">
        <v>244245.26</v>
      </c>
      <c r="G48" s="695">
        <v>0</v>
      </c>
      <c r="H48" s="674">
        <f t="shared" si="3"/>
        <v>244245.26</v>
      </c>
    </row>
    <row r="49" spans="1:8">
      <c r="A49" s="445">
        <v>19.2</v>
      </c>
      <c r="B49" s="421" t="s">
        <v>760</v>
      </c>
      <c r="C49" s="695">
        <v>0</v>
      </c>
      <c r="D49" s="695">
        <v>0</v>
      </c>
      <c r="E49" s="674">
        <f t="shared" si="2"/>
        <v>0</v>
      </c>
      <c r="F49" s="695">
        <v>131701</v>
      </c>
      <c r="G49" s="695">
        <v>0</v>
      </c>
      <c r="H49" s="674">
        <f t="shared" si="3"/>
        <v>131701</v>
      </c>
    </row>
    <row r="50" spans="1:8">
      <c r="A50" s="445">
        <v>20</v>
      </c>
      <c r="B50" s="422" t="s">
        <v>101</v>
      </c>
      <c r="C50" s="695">
        <v>0</v>
      </c>
      <c r="D50" s="695">
        <v>118830815.2652</v>
      </c>
      <c r="E50" s="674">
        <f t="shared" si="2"/>
        <v>118830815.2652</v>
      </c>
      <c r="F50" s="695">
        <v>0</v>
      </c>
      <c r="G50" s="695">
        <v>95338427.372799993</v>
      </c>
      <c r="H50" s="674">
        <f t="shared" si="3"/>
        <v>95338427.372799993</v>
      </c>
    </row>
    <row r="51" spans="1:8">
      <c r="A51" s="445">
        <v>21</v>
      </c>
      <c r="B51" s="423" t="s">
        <v>89</v>
      </c>
      <c r="C51" s="695">
        <v>3889502.63</v>
      </c>
      <c r="D51" s="695">
        <v>16202263.177900001</v>
      </c>
      <c r="E51" s="674">
        <f t="shared" si="2"/>
        <v>20091765.8079</v>
      </c>
      <c r="F51" s="695">
        <v>2070823.63</v>
      </c>
      <c r="G51" s="695">
        <v>14472352.568099998</v>
      </c>
      <c r="H51" s="674">
        <f t="shared" si="3"/>
        <v>16543176.198099997</v>
      </c>
    </row>
    <row r="52" spans="1:8">
      <c r="A52" s="445">
        <v>21.1</v>
      </c>
      <c r="B52" s="418" t="s">
        <v>761</v>
      </c>
      <c r="C52" s="695">
        <v>1060412.6299999999</v>
      </c>
      <c r="D52" s="695"/>
      <c r="E52" s="674">
        <f t="shared" si="2"/>
        <v>1060412.6299999999</v>
      </c>
      <c r="F52" s="695">
        <v>1060412.6299999999</v>
      </c>
      <c r="G52" s="695"/>
      <c r="H52" s="674">
        <f t="shared" si="3"/>
        <v>1060412.6299999999</v>
      </c>
    </row>
    <row r="53" spans="1:8">
      <c r="A53" s="445">
        <v>22</v>
      </c>
      <c r="B53" s="422" t="s">
        <v>762</v>
      </c>
      <c r="C53" s="695">
        <v>16183821.100682952</v>
      </c>
      <c r="D53" s="695">
        <v>135975353.95241708</v>
      </c>
      <c r="E53" s="674">
        <f t="shared" si="2"/>
        <v>152159175.05310002</v>
      </c>
      <c r="F53" s="695">
        <v>18045158.07</v>
      </c>
      <c r="G53" s="695">
        <v>111195231.49159998</v>
      </c>
      <c r="H53" s="674">
        <f t="shared" si="3"/>
        <v>129240389.56159997</v>
      </c>
    </row>
    <row r="54" spans="1:8" ht="24" customHeight="1">
      <c r="A54" s="445"/>
      <c r="B54" s="424" t="s">
        <v>763</v>
      </c>
      <c r="C54" s="808"/>
      <c r="D54" s="809"/>
      <c r="E54" s="809"/>
      <c r="F54" s="809"/>
      <c r="G54" s="809"/>
      <c r="H54" s="810"/>
    </row>
    <row r="55" spans="1:8">
      <c r="A55" s="445">
        <v>23</v>
      </c>
      <c r="B55" s="422" t="s">
        <v>105</v>
      </c>
      <c r="C55" s="695">
        <v>209008277</v>
      </c>
      <c r="D55" s="695"/>
      <c r="E55" s="674">
        <f>C55+D55</f>
        <v>209008277</v>
      </c>
      <c r="F55" s="695">
        <v>209008277</v>
      </c>
      <c r="G55" s="695"/>
      <c r="H55" s="674">
        <f>F55+G55</f>
        <v>209008277</v>
      </c>
    </row>
    <row r="56" spans="1:8">
      <c r="A56" s="445">
        <v>24</v>
      </c>
      <c r="B56" s="422" t="s">
        <v>764</v>
      </c>
      <c r="C56" s="695"/>
      <c r="D56" s="695"/>
      <c r="E56" s="674">
        <f t="shared" ref="E56:E69" si="4">C56+D56</f>
        <v>0</v>
      </c>
      <c r="F56" s="695"/>
      <c r="G56" s="695"/>
      <c r="H56" s="674">
        <f t="shared" ref="H56:H69" si="5">F56+G56</f>
        <v>0</v>
      </c>
    </row>
    <row r="57" spans="1:8">
      <c r="A57" s="445">
        <v>25</v>
      </c>
      <c r="B57" s="425" t="s">
        <v>102</v>
      </c>
      <c r="C57" s="695"/>
      <c r="D57" s="695"/>
      <c r="E57" s="674">
        <f t="shared" si="4"/>
        <v>0</v>
      </c>
      <c r="F57" s="695"/>
      <c r="G57" s="695"/>
      <c r="H57" s="674">
        <f t="shared" si="5"/>
        <v>0</v>
      </c>
    </row>
    <row r="58" spans="1:8">
      <c r="A58" s="445">
        <v>26</v>
      </c>
      <c r="B58" s="419" t="s">
        <v>765</v>
      </c>
      <c r="C58" s="695"/>
      <c r="D58" s="695"/>
      <c r="E58" s="674">
        <f t="shared" si="4"/>
        <v>0</v>
      </c>
      <c r="F58" s="695"/>
      <c r="G58" s="695"/>
      <c r="H58" s="674">
        <f t="shared" si="5"/>
        <v>0</v>
      </c>
    </row>
    <row r="59" spans="1:8" ht="21">
      <c r="A59" s="445">
        <v>27</v>
      </c>
      <c r="B59" s="419" t="s">
        <v>766</v>
      </c>
      <c r="C59" s="695">
        <v>0</v>
      </c>
      <c r="D59" s="695">
        <v>56054100</v>
      </c>
      <c r="E59" s="674">
        <f t="shared" si="4"/>
        <v>56054100</v>
      </c>
      <c r="F59" s="695">
        <v>0</v>
      </c>
      <c r="G59" s="695">
        <v>49488700</v>
      </c>
      <c r="H59" s="674">
        <f t="shared" si="5"/>
        <v>49488700</v>
      </c>
    </row>
    <row r="60" spans="1:8">
      <c r="A60" s="445">
        <v>27.1</v>
      </c>
      <c r="B60" s="426" t="s">
        <v>767</v>
      </c>
      <c r="C60" s="695">
        <v>0</v>
      </c>
      <c r="D60" s="695">
        <v>56054100</v>
      </c>
      <c r="E60" s="674">
        <f t="shared" si="4"/>
        <v>56054100</v>
      </c>
      <c r="F60" s="695">
        <v>0</v>
      </c>
      <c r="G60" s="695">
        <v>49488700</v>
      </c>
      <c r="H60" s="674">
        <f t="shared" si="5"/>
        <v>49488700</v>
      </c>
    </row>
    <row r="61" spans="1:8">
      <c r="A61" s="445">
        <v>27.2</v>
      </c>
      <c r="B61" s="417" t="s">
        <v>768</v>
      </c>
      <c r="C61" s="695"/>
      <c r="D61" s="695"/>
      <c r="E61" s="674">
        <f t="shared" si="4"/>
        <v>0</v>
      </c>
      <c r="F61" s="695"/>
      <c r="G61" s="695"/>
      <c r="H61" s="674">
        <f t="shared" si="5"/>
        <v>0</v>
      </c>
    </row>
    <row r="62" spans="1:8">
      <c r="A62" s="445">
        <v>28</v>
      </c>
      <c r="B62" s="423" t="s">
        <v>769</v>
      </c>
      <c r="C62" s="695"/>
      <c r="D62" s="695"/>
      <c r="E62" s="674">
        <f t="shared" si="4"/>
        <v>0</v>
      </c>
      <c r="F62" s="695"/>
      <c r="G62" s="695"/>
      <c r="H62" s="674">
        <f t="shared" si="5"/>
        <v>0</v>
      </c>
    </row>
    <row r="63" spans="1:8">
      <c r="A63" s="445">
        <v>29</v>
      </c>
      <c r="B63" s="419" t="s">
        <v>770</v>
      </c>
      <c r="C63" s="695">
        <v>12445108</v>
      </c>
      <c r="D63" s="695">
        <v>0</v>
      </c>
      <c r="E63" s="674">
        <f t="shared" si="4"/>
        <v>12445108</v>
      </c>
      <c r="F63" s="695">
        <v>11716000</v>
      </c>
      <c r="G63" s="695">
        <v>0</v>
      </c>
      <c r="H63" s="674">
        <f t="shared" si="5"/>
        <v>11716000</v>
      </c>
    </row>
    <row r="64" spans="1:8">
      <c r="A64" s="445">
        <v>29.1</v>
      </c>
      <c r="B64" s="408" t="s">
        <v>771</v>
      </c>
      <c r="C64" s="695">
        <v>12445108</v>
      </c>
      <c r="D64" s="695"/>
      <c r="E64" s="674">
        <f t="shared" si="4"/>
        <v>12445108</v>
      </c>
      <c r="F64" s="695">
        <v>11716000</v>
      </c>
      <c r="G64" s="695"/>
      <c r="H64" s="674">
        <f t="shared" si="5"/>
        <v>11716000</v>
      </c>
    </row>
    <row r="65" spans="1:8" ht="25.35" customHeight="1">
      <c r="A65" s="445">
        <v>29.2</v>
      </c>
      <c r="B65" s="426" t="s">
        <v>772</v>
      </c>
      <c r="C65" s="695"/>
      <c r="D65" s="695"/>
      <c r="E65" s="674">
        <f t="shared" si="4"/>
        <v>0</v>
      </c>
      <c r="F65" s="695"/>
      <c r="G65" s="695"/>
      <c r="H65" s="674">
        <f t="shared" si="5"/>
        <v>0</v>
      </c>
    </row>
    <row r="66" spans="1:8" ht="22.5" customHeight="1">
      <c r="A66" s="445">
        <v>29.3</v>
      </c>
      <c r="B66" s="411" t="s">
        <v>773</v>
      </c>
      <c r="C66" s="695"/>
      <c r="D66" s="695"/>
      <c r="E66" s="674">
        <f t="shared" si="4"/>
        <v>0</v>
      </c>
      <c r="F66" s="695"/>
      <c r="G66" s="695"/>
      <c r="H66" s="674">
        <f t="shared" si="5"/>
        <v>0</v>
      </c>
    </row>
    <row r="67" spans="1:8">
      <c r="A67" s="445">
        <v>30</v>
      </c>
      <c r="B67" s="407" t="s">
        <v>103</v>
      </c>
      <c r="C67" s="695">
        <v>19524349.624262907</v>
      </c>
      <c r="D67" s="695"/>
      <c r="E67" s="674">
        <f t="shared" si="4"/>
        <v>19524349.624262907</v>
      </c>
      <c r="F67" s="695">
        <v>55253917.408969045</v>
      </c>
      <c r="G67" s="695"/>
      <c r="H67" s="674">
        <f t="shared" si="5"/>
        <v>55253917.408969045</v>
      </c>
    </row>
    <row r="68" spans="1:8">
      <c r="A68" s="445">
        <v>31</v>
      </c>
      <c r="B68" s="427" t="s">
        <v>774</v>
      </c>
      <c r="C68" s="695">
        <v>240977734.6242629</v>
      </c>
      <c r="D68" s="695">
        <v>56054100</v>
      </c>
      <c r="E68" s="674">
        <f t="shared" si="4"/>
        <v>297031834.62426293</v>
      </c>
      <c r="F68" s="695">
        <v>325466894.40896904</v>
      </c>
      <c r="G68" s="695">
        <v>0</v>
      </c>
      <c r="H68" s="674">
        <f t="shared" si="5"/>
        <v>325466894.40896904</v>
      </c>
    </row>
    <row r="69" spans="1:8">
      <c r="A69" s="445">
        <v>32</v>
      </c>
      <c r="B69" s="428" t="s">
        <v>775</v>
      </c>
      <c r="C69" s="695">
        <v>257161555.72494584</v>
      </c>
      <c r="D69" s="695">
        <v>192029453.95241708</v>
      </c>
      <c r="E69" s="674">
        <f t="shared" si="4"/>
        <v>449191009.67736292</v>
      </c>
      <c r="F69" s="695">
        <v>343512052.47896904</v>
      </c>
      <c r="G69" s="695">
        <v>111195231.49159998</v>
      </c>
      <c r="H69" s="674">
        <f t="shared" si="5"/>
        <v>454707283.97056901</v>
      </c>
    </row>
    <row r="70" spans="1:8">
      <c r="C70" s="675"/>
      <c r="D70" s="675"/>
      <c r="E70" s="784">
        <f>E69-E36</f>
        <v>1.2775932550430298</v>
      </c>
      <c r="F70" s="675"/>
      <c r="G70" s="675"/>
      <c r="H70" s="784">
        <f>H69-H36</f>
        <v>0</v>
      </c>
    </row>
    <row r="71" spans="1:8">
      <c r="C71" s="675"/>
      <c r="D71" s="675"/>
      <c r="E71" s="675"/>
      <c r="F71" s="675"/>
      <c r="G71" s="675"/>
      <c r="H71" s="675"/>
    </row>
    <row r="72" spans="1:8">
      <c r="C72" s="675"/>
      <c r="D72" s="675"/>
      <c r="E72" s="675"/>
      <c r="F72" s="675"/>
      <c r="G72" s="675"/>
      <c r="H72" s="675"/>
    </row>
    <row r="73" spans="1:8">
      <c r="C73" s="675"/>
      <c r="D73" s="675"/>
      <c r="E73" s="675"/>
      <c r="F73" s="675"/>
      <c r="G73" s="675"/>
      <c r="H73" s="675"/>
    </row>
    <row r="74" spans="1:8">
      <c r="C74" s="675"/>
      <c r="D74" s="675"/>
      <c r="E74" s="675"/>
      <c r="F74" s="675"/>
      <c r="G74" s="675"/>
      <c r="H74" s="675"/>
    </row>
    <row r="75" spans="1:8">
      <c r="C75" s="675"/>
      <c r="D75" s="675"/>
      <c r="E75" s="675"/>
      <c r="F75" s="675"/>
      <c r="G75" s="675"/>
      <c r="H75" s="675"/>
    </row>
    <row r="76" spans="1:8">
      <c r="C76" s="675"/>
      <c r="D76" s="675"/>
      <c r="E76" s="675"/>
      <c r="F76" s="675"/>
      <c r="G76" s="675"/>
      <c r="H76" s="675"/>
    </row>
    <row r="77" spans="1:8">
      <c r="C77" s="675"/>
      <c r="D77" s="675"/>
      <c r="E77" s="675"/>
      <c r="F77" s="675"/>
      <c r="G77" s="675"/>
      <c r="H77" s="675"/>
    </row>
    <row r="78" spans="1:8">
      <c r="C78" s="675"/>
      <c r="D78" s="675"/>
      <c r="E78" s="675"/>
      <c r="F78" s="675"/>
      <c r="G78" s="675"/>
      <c r="H78" s="675"/>
    </row>
    <row r="79" spans="1:8">
      <c r="C79" s="675"/>
      <c r="D79" s="675"/>
      <c r="E79" s="675"/>
      <c r="F79" s="675"/>
      <c r="G79" s="675"/>
      <c r="H79" s="675"/>
    </row>
    <row r="80" spans="1:8">
      <c r="C80" s="675"/>
      <c r="D80" s="675"/>
      <c r="E80" s="675"/>
      <c r="F80" s="675"/>
      <c r="G80" s="675"/>
      <c r="H80" s="675"/>
    </row>
    <row r="81" spans="3:8">
      <c r="C81" s="675"/>
      <c r="D81" s="675"/>
      <c r="E81" s="675"/>
      <c r="F81" s="675"/>
      <c r="G81" s="675"/>
      <c r="H81" s="675"/>
    </row>
    <row r="82" spans="3:8">
      <c r="C82" s="675"/>
      <c r="D82" s="675"/>
      <c r="E82" s="675"/>
      <c r="F82" s="675"/>
      <c r="G82" s="675"/>
      <c r="H82" s="675"/>
    </row>
    <row r="83" spans="3:8">
      <c r="C83" s="675"/>
      <c r="D83" s="675"/>
      <c r="E83" s="675"/>
      <c r="F83" s="675"/>
      <c r="G83" s="675"/>
      <c r="H83" s="675"/>
    </row>
    <row r="84" spans="3:8">
      <c r="C84" s="675"/>
      <c r="D84" s="675"/>
      <c r="E84" s="675"/>
      <c r="F84" s="675"/>
      <c r="G84" s="675"/>
      <c r="H84" s="675"/>
    </row>
    <row r="85" spans="3:8">
      <c r="C85" s="675"/>
      <c r="D85" s="675"/>
      <c r="E85" s="675"/>
      <c r="F85" s="675"/>
      <c r="G85" s="675"/>
      <c r="H85" s="675"/>
    </row>
    <row r="86" spans="3:8">
      <c r="C86" s="675"/>
      <c r="D86" s="675"/>
      <c r="E86" s="675"/>
      <c r="F86" s="675"/>
      <c r="G86" s="675"/>
      <c r="H86" s="675"/>
    </row>
    <row r="87" spans="3:8">
      <c r="C87" s="675"/>
      <c r="D87" s="675"/>
      <c r="E87" s="675"/>
      <c r="F87" s="675"/>
      <c r="G87" s="675"/>
      <c r="H87" s="675"/>
    </row>
    <row r="88" spans="3:8">
      <c r="C88" s="675"/>
      <c r="D88" s="675"/>
      <c r="E88" s="675"/>
      <c r="F88" s="675"/>
      <c r="G88" s="675"/>
      <c r="H88" s="675"/>
    </row>
    <row r="89" spans="3:8">
      <c r="C89" s="675"/>
      <c r="D89" s="675"/>
      <c r="E89" s="675"/>
      <c r="F89" s="675"/>
      <c r="G89" s="675"/>
      <c r="H89" s="675"/>
    </row>
    <row r="90" spans="3:8">
      <c r="C90" s="675"/>
      <c r="D90" s="675"/>
      <c r="E90" s="675"/>
      <c r="F90" s="675"/>
      <c r="G90" s="675"/>
      <c r="H90" s="675"/>
    </row>
    <row r="91" spans="3:8">
      <c r="C91" s="675"/>
      <c r="D91" s="675"/>
      <c r="E91" s="675"/>
      <c r="F91" s="675"/>
      <c r="G91" s="675"/>
      <c r="H91" s="675"/>
    </row>
    <row r="92" spans="3:8">
      <c r="C92" s="675"/>
      <c r="D92" s="675"/>
      <c r="E92" s="675"/>
      <c r="F92" s="675"/>
      <c r="G92" s="675"/>
      <c r="H92" s="675"/>
    </row>
    <row r="93" spans="3:8">
      <c r="C93" s="675"/>
      <c r="D93" s="675"/>
      <c r="E93" s="675"/>
      <c r="F93" s="675"/>
      <c r="G93" s="675"/>
      <c r="H93" s="675"/>
    </row>
    <row r="94" spans="3:8">
      <c r="C94" s="675"/>
      <c r="D94" s="675"/>
      <c r="E94" s="675"/>
      <c r="F94" s="675"/>
      <c r="G94" s="675"/>
      <c r="H94" s="675"/>
    </row>
    <row r="95" spans="3:8">
      <c r="C95" s="675"/>
      <c r="D95" s="675"/>
      <c r="E95" s="675"/>
      <c r="F95" s="675"/>
      <c r="G95" s="675"/>
      <c r="H95" s="675"/>
    </row>
    <row r="96" spans="3:8">
      <c r="C96" s="675"/>
      <c r="D96" s="675"/>
      <c r="E96" s="675"/>
      <c r="F96" s="675"/>
      <c r="G96" s="675"/>
      <c r="H96" s="675"/>
    </row>
    <row r="97" spans="3:8">
      <c r="C97" s="675"/>
      <c r="D97" s="675"/>
      <c r="E97" s="675"/>
      <c r="F97" s="675"/>
      <c r="G97" s="675"/>
      <c r="H97" s="675"/>
    </row>
    <row r="98" spans="3:8">
      <c r="C98" s="675"/>
      <c r="D98" s="675"/>
      <c r="E98" s="675"/>
      <c r="F98" s="675"/>
      <c r="G98" s="675"/>
      <c r="H98" s="675"/>
    </row>
    <row r="99" spans="3:8">
      <c r="C99" s="675"/>
      <c r="D99" s="675"/>
      <c r="E99" s="675"/>
      <c r="F99" s="675"/>
      <c r="G99" s="675"/>
      <c r="H99" s="675"/>
    </row>
    <row r="100" spans="3:8">
      <c r="C100" s="675"/>
      <c r="D100" s="675"/>
      <c r="E100" s="675"/>
      <c r="F100" s="675"/>
      <c r="G100" s="675"/>
      <c r="H100" s="675"/>
    </row>
    <row r="101" spans="3:8">
      <c r="C101" s="675"/>
      <c r="D101" s="675"/>
      <c r="E101" s="675"/>
      <c r="F101" s="675"/>
      <c r="G101" s="675"/>
      <c r="H101" s="675"/>
    </row>
    <row r="102" spans="3:8">
      <c r="C102" s="675"/>
      <c r="D102" s="675"/>
      <c r="E102" s="675"/>
      <c r="F102" s="675"/>
      <c r="G102" s="675"/>
      <c r="H102" s="675"/>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5"/>
  <sheetViews>
    <sheetView topLeftCell="A142" zoomScale="80" zoomScaleNormal="80" workbookViewId="0">
      <selection activeCell="C154" sqref="C154"/>
    </sheetView>
  </sheetViews>
  <sheetFormatPr defaultColWidth="43.5703125" defaultRowHeight="11.25"/>
  <cols>
    <col min="1" max="1" width="8" style="162" customWidth="1"/>
    <col min="2" max="2" width="66.28515625" style="163" customWidth="1"/>
    <col min="3" max="3" width="131.42578125" style="164" customWidth="1"/>
    <col min="4" max="5" width="10.28515625" style="155" customWidth="1"/>
    <col min="6" max="6" width="67.7109375" style="155" customWidth="1"/>
    <col min="7" max="16384" width="43.5703125" style="155"/>
  </cols>
  <sheetData>
    <row r="1" spans="1:3" ht="12.75" thickTop="1" thickBot="1">
      <c r="A1" s="980" t="s">
        <v>187</v>
      </c>
      <c r="B1" s="981"/>
      <c r="C1" s="982"/>
    </row>
    <row r="2" spans="1:3" ht="26.25" customHeight="1">
      <c r="A2" s="390"/>
      <c r="B2" s="983" t="s">
        <v>188</v>
      </c>
      <c r="C2" s="983"/>
    </row>
    <row r="3" spans="1:3" s="160" customFormat="1" ht="11.25" customHeight="1">
      <c r="A3" s="159"/>
      <c r="B3" s="983" t="s">
        <v>263</v>
      </c>
      <c r="C3" s="983"/>
    </row>
    <row r="4" spans="1:3" ht="12" customHeight="1" thickBot="1">
      <c r="A4" s="962" t="s">
        <v>267</v>
      </c>
      <c r="B4" s="963"/>
      <c r="C4" s="964"/>
    </row>
    <row r="5" spans="1:3" ht="12" thickTop="1">
      <c r="A5" s="156"/>
      <c r="B5" s="965" t="s">
        <v>189</v>
      </c>
      <c r="C5" s="966"/>
    </row>
    <row r="6" spans="1:3">
      <c r="A6" s="390"/>
      <c r="B6" s="942" t="s">
        <v>264</v>
      </c>
      <c r="C6" s="943"/>
    </row>
    <row r="7" spans="1:3">
      <c r="A7" s="390"/>
      <c r="B7" s="942" t="s">
        <v>190</v>
      </c>
      <c r="C7" s="943"/>
    </row>
    <row r="8" spans="1:3">
      <c r="A8" s="390"/>
      <c r="B8" s="942" t="s">
        <v>265</v>
      </c>
      <c r="C8" s="943"/>
    </row>
    <row r="9" spans="1:3">
      <c r="A9" s="390"/>
      <c r="B9" s="986" t="s">
        <v>266</v>
      </c>
      <c r="C9" s="987"/>
    </row>
    <row r="10" spans="1:3">
      <c r="A10" s="390"/>
      <c r="B10" s="978" t="s">
        <v>191</v>
      </c>
      <c r="C10" s="979" t="s">
        <v>191</v>
      </c>
    </row>
    <row r="11" spans="1:3">
      <c r="A11" s="390"/>
      <c r="B11" s="978" t="s">
        <v>192</v>
      </c>
      <c r="C11" s="979" t="s">
        <v>192</v>
      </c>
    </row>
    <row r="12" spans="1:3">
      <c r="A12" s="390"/>
      <c r="B12" s="978" t="s">
        <v>193</v>
      </c>
      <c r="C12" s="979" t="s">
        <v>193</v>
      </c>
    </row>
    <row r="13" spans="1:3">
      <c r="A13" s="390"/>
      <c r="B13" s="978" t="s">
        <v>194</v>
      </c>
      <c r="C13" s="979" t="s">
        <v>194</v>
      </c>
    </row>
    <row r="14" spans="1:3">
      <c r="A14" s="390"/>
      <c r="B14" s="978" t="s">
        <v>195</v>
      </c>
      <c r="C14" s="979" t="s">
        <v>195</v>
      </c>
    </row>
    <row r="15" spans="1:3" ht="21.75" customHeight="1">
      <c r="A15" s="390"/>
      <c r="B15" s="978" t="s">
        <v>196</v>
      </c>
      <c r="C15" s="979" t="s">
        <v>196</v>
      </c>
    </row>
    <row r="16" spans="1:3">
      <c r="A16" s="390"/>
      <c r="B16" s="978" t="s">
        <v>197</v>
      </c>
      <c r="C16" s="979" t="s">
        <v>198</v>
      </c>
    </row>
    <row r="17" spans="1:6">
      <c r="A17" s="390"/>
      <c r="B17" s="978" t="s">
        <v>199</v>
      </c>
      <c r="C17" s="979" t="s">
        <v>200</v>
      </c>
    </row>
    <row r="18" spans="1:6">
      <c r="A18" s="390"/>
      <c r="B18" s="978" t="s">
        <v>201</v>
      </c>
      <c r="C18" s="979" t="s">
        <v>202</v>
      </c>
    </row>
    <row r="19" spans="1:6">
      <c r="A19" s="390"/>
      <c r="B19" s="978" t="s">
        <v>203</v>
      </c>
      <c r="C19" s="979" t="s">
        <v>203</v>
      </c>
    </row>
    <row r="20" spans="1:6">
      <c r="A20" s="390"/>
      <c r="B20" s="984" t="s">
        <v>958</v>
      </c>
      <c r="C20" s="985" t="s">
        <v>204</v>
      </c>
    </row>
    <row r="21" spans="1:6">
      <c r="A21" s="390"/>
      <c r="B21" s="978" t="s">
        <v>947</v>
      </c>
      <c r="C21" s="979" t="s">
        <v>205</v>
      </c>
    </row>
    <row r="22" spans="1:6" ht="23.25" customHeight="1">
      <c r="A22" s="390"/>
      <c r="B22" s="978" t="s">
        <v>206</v>
      </c>
      <c r="C22" s="979" t="s">
        <v>207</v>
      </c>
      <c r="F22" s="619"/>
    </row>
    <row r="23" spans="1:6">
      <c r="A23" s="390"/>
      <c r="B23" s="978" t="s">
        <v>208</v>
      </c>
      <c r="C23" s="979" t="s">
        <v>208</v>
      </c>
    </row>
    <row r="24" spans="1:6">
      <c r="A24" s="390"/>
      <c r="B24" s="978" t="s">
        <v>209</v>
      </c>
      <c r="C24" s="979" t="s">
        <v>210</v>
      </c>
    </row>
    <row r="25" spans="1:6" ht="12" thickBot="1">
      <c r="A25" s="157"/>
      <c r="B25" s="972" t="s">
        <v>211</v>
      </c>
      <c r="C25" s="973"/>
    </row>
    <row r="26" spans="1:6" ht="12.75" thickTop="1" thickBot="1">
      <c r="A26" s="962" t="s">
        <v>844</v>
      </c>
      <c r="B26" s="963"/>
      <c r="C26" s="964"/>
    </row>
    <row r="27" spans="1:6" ht="12.75" thickTop="1" thickBot="1">
      <c r="A27" s="158"/>
      <c r="B27" s="974" t="s">
        <v>845</v>
      </c>
      <c r="C27" s="975"/>
    </row>
    <row r="28" spans="1:6" ht="12.75" thickTop="1" thickBot="1">
      <c r="A28" s="962" t="s">
        <v>268</v>
      </c>
      <c r="B28" s="963"/>
      <c r="C28" s="964"/>
    </row>
    <row r="29" spans="1:6" ht="12" thickTop="1">
      <c r="A29" s="156"/>
      <c r="B29" s="976" t="s">
        <v>848</v>
      </c>
      <c r="C29" s="977" t="s">
        <v>212</v>
      </c>
    </row>
    <row r="30" spans="1:6">
      <c r="A30" s="390"/>
      <c r="B30" s="967" t="s">
        <v>216</v>
      </c>
      <c r="C30" s="968" t="s">
        <v>213</v>
      </c>
    </row>
    <row r="31" spans="1:6">
      <c r="A31" s="390"/>
      <c r="B31" s="967" t="s">
        <v>846</v>
      </c>
      <c r="C31" s="968" t="s">
        <v>214</v>
      </c>
    </row>
    <row r="32" spans="1:6">
      <c r="A32" s="390"/>
      <c r="B32" s="967" t="s">
        <v>847</v>
      </c>
      <c r="C32" s="968" t="s">
        <v>215</v>
      </c>
    </row>
    <row r="33" spans="1:3">
      <c r="A33" s="390"/>
      <c r="B33" s="967" t="s">
        <v>219</v>
      </c>
      <c r="C33" s="968" t="s">
        <v>220</v>
      </c>
    </row>
    <row r="34" spans="1:3">
      <c r="A34" s="390"/>
      <c r="B34" s="967" t="s">
        <v>849</v>
      </c>
      <c r="C34" s="968" t="s">
        <v>217</v>
      </c>
    </row>
    <row r="35" spans="1:3">
      <c r="A35" s="390"/>
      <c r="B35" s="967" t="s">
        <v>850</v>
      </c>
      <c r="C35" s="968" t="s">
        <v>218</v>
      </c>
    </row>
    <row r="36" spans="1:3">
      <c r="A36" s="390"/>
      <c r="B36" s="969" t="s">
        <v>851</v>
      </c>
      <c r="C36" s="970"/>
    </row>
    <row r="37" spans="1:3" ht="24.75" customHeight="1">
      <c r="A37" s="390"/>
      <c r="B37" s="967" t="s">
        <v>852</v>
      </c>
      <c r="C37" s="968" t="s">
        <v>221</v>
      </c>
    </row>
    <row r="38" spans="1:3" ht="23.25" customHeight="1">
      <c r="A38" s="390"/>
      <c r="B38" s="967" t="s">
        <v>853</v>
      </c>
      <c r="C38" s="968" t="s">
        <v>222</v>
      </c>
    </row>
    <row r="39" spans="1:3" ht="23.25" customHeight="1">
      <c r="A39" s="456"/>
      <c r="B39" s="969" t="s">
        <v>854</v>
      </c>
      <c r="C39" s="971"/>
    </row>
    <row r="40" spans="1:3" ht="12" customHeight="1">
      <c r="A40" s="390"/>
      <c r="B40" s="967" t="s">
        <v>855</v>
      </c>
      <c r="C40" s="968"/>
    </row>
    <row r="41" spans="1:3" ht="12" thickBot="1">
      <c r="A41" s="962" t="s">
        <v>269</v>
      </c>
      <c r="B41" s="963"/>
      <c r="C41" s="964"/>
    </row>
    <row r="42" spans="1:3" ht="12" thickTop="1">
      <c r="A42" s="156"/>
      <c r="B42" s="965" t="s">
        <v>299</v>
      </c>
      <c r="C42" s="966" t="s">
        <v>223</v>
      </c>
    </row>
    <row r="43" spans="1:3">
      <c r="A43" s="390"/>
      <c r="B43" s="942" t="s">
        <v>298</v>
      </c>
      <c r="C43" s="943"/>
    </row>
    <row r="44" spans="1:3" ht="23.25" customHeight="1" thickBot="1">
      <c r="A44" s="157"/>
      <c r="B44" s="960" t="s">
        <v>224</v>
      </c>
      <c r="C44" s="961" t="s">
        <v>225</v>
      </c>
    </row>
    <row r="45" spans="1:3" ht="11.25" customHeight="1" thickTop="1" thickBot="1">
      <c r="A45" s="962" t="s">
        <v>270</v>
      </c>
      <c r="B45" s="963"/>
      <c r="C45" s="964"/>
    </row>
    <row r="46" spans="1:3" ht="26.25" customHeight="1" thickTop="1">
      <c r="A46" s="390"/>
      <c r="B46" s="942" t="s">
        <v>271</v>
      </c>
      <c r="C46" s="943"/>
    </row>
    <row r="47" spans="1:3" ht="12" thickBot="1">
      <c r="A47" s="962" t="s">
        <v>272</v>
      </c>
      <c r="B47" s="963"/>
      <c r="C47" s="964"/>
    </row>
    <row r="48" spans="1:3" ht="12" thickTop="1">
      <c r="A48" s="156"/>
      <c r="B48" s="965" t="s">
        <v>226</v>
      </c>
      <c r="C48" s="966" t="s">
        <v>226</v>
      </c>
    </row>
    <row r="49" spans="1:3" ht="11.25" customHeight="1">
      <c r="A49" s="390"/>
      <c r="B49" s="942" t="s">
        <v>227</v>
      </c>
      <c r="C49" s="943" t="s">
        <v>227</v>
      </c>
    </row>
    <row r="50" spans="1:3">
      <c r="A50" s="390"/>
      <c r="B50" s="942" t="s">
        <v>228</v>
      </c>
      <c r="C50" s="943" t="s">
        <v>228</v>
      </c>
    </row>
    <row r="51" spans="1:3" ht="11.25" customHeight="1">
      <c r="A51" s="390"/>
      <c r="B51" s="942" t="s">
        <v>857</v>
      </c>
      <c r="C51" s="943" t="s">
        <v>229</v>
      </c>
    </row>
    <row r="52" spans="1:3" ht="33.6" customHeight="1">
      <c r="A52" s="390"/>
      <c r="B52" s="942" t="s">
        <v>230</v>
      </c>
      <c r="C52" s="943" t="s">
        <v>230</v>
      </c>
    </row>
    <row r="53" spans="1:3" ht="11.25" customHeight="1">
      <c r="A53" s="390"/>
      <c r="B53" s="942" t="s">
        <v>319</v>
      </c>
      <c r="C53" s="943" t="s">
        <v>231</v>
      </c>
    </row>
    <row r="54" spans="1:3" ht="11.25" customHeight="1" thickBot="1">
      <c r="A54" s="962" t="s">
        <v>273</v>
      </c>
      <c r="B54" s="963"/>
      <c r="C54" s="964"/>
    </row>
    <row r="55" spans="1:3" ht="12" thickTop="1">
      <c r="A55" s="156"/>
      <c r="B55" s="965" t="s">
        <v>226</v>
      </c>
      <c r="C55" s="966" t="s">
        <v>226</v>
      </c>
    </row>
    <row r="56" spans="1:3">
      <c r="A56" s="390"/>
      <c r="B56" s="942" t="s">
        <v>232</v>
      </c>
      <c r="C56" s="943" t="s">
        <v>232</v>
      </c>
    </row>
    <row r="57" spans="1:3">
      <c r="A57" s="390"/>
      <c r="B57" s="942" t="s">
        <v>276</v>
      </c>
      <c r="C57" s="943" t="s">
        <v>233</v>
      </c>
    </row>
    <row r="58" spans="1:3">
      <c r="A58" s="390"/>
      <c r="B58" s="942" t="s">
        <v>234</v>
      </c>
      <c r="C58" s="943" t="s">
        <v>234</v>
      </c>
    </row>
    <row r="59" spans="1:3">
      <c r="A59" s="390"/>
      <c r="B59" s="942" t="s">
        <v>235</v>
      </c>
      <c r="C59" s="943" t="s">
        <v>235</v>
      </c>
    </row>
    <row r="60" spans="1:3">
      <c r="A60" s="390"/>
      <c r="B60" s="942" t="s">
        <v>236</v>
      </c>
      <c r="C60" s="943" t="s">
        <v>236</v>
      </c>
    </row>
    <row r="61" spans="1:3">
      <c r="A61" s="390"/>
      <c r="B61" s="942" t="s">
        <v>277</v>
      </c>
      <c r="C61" s="943" t="s">
        <v>237</v>
      </c>
    </row>
    <row r="62" spans="1:3">
      <c r="A62" s="390"/>
      <c r="B62" s="942" t="s">
        <v>238</v>
      </c>
      <c r="C62" s="943" t="s">
        <v>238</v>
      </c>
    </row>
    <row r="63" spans="1:3" ht="12" thickBot="1">
      <c r="A63" s="157"/>
      <c r="B63" s="960" t="s">
        <v>239</v>
      </c>
      <c r="C63" s="961" t="s">
        <v>239</v>
      </c>
    </row>
    <row r="64" spans="1:3" ht="11.25" customHeight="1" thickTop="1">
      <c r="A64" s="948" t="s">
        <v>274</v>
      </c>
      <c r="B64" s="949"/>
      <c r="C64" s="950"/>
    </row>
    <row r="65" spans="1:3" ht="12" thickBot="1">
      <c r="A65" s="157"/>
      <c r="B65" s="960" t="s">
        <v>240</v>
      </c>
      <c r="C65" s="961" t="s">
        <v>240</v>
      </c>
    </row>
    <row r="66" spans="1:3" ht="11.25" customHeight="1" thickTop="1" thickBot="1">
      <c r="A66" s="962" t="s">
        <v>275</v>
      </c>
      <c r="B66" s="963"/>
      <c r="C66" s="964"/>
    </row>
    <row r="67" spans="1:3" ht="12" thickTop="1">
      <c r="A67" s="156"/>
      <c r="B67" s="965" t="s">
        <v>241</v>
      </c>
      <c r="C67" s="966" t="s">
        <v>241</v>
      </c>
    </row>
    <row r="68" spans="1:3">
      <c r="A68" s="390"/>
      <c r="B68" s="942" t="s">
        <v>859</v>
      </c>
      <c r="C68" s="943" t="s">
        <v>242</v>
      </c>
    </row>
    <row r="69" spans="1:3">
      <c r="A69" s="390"/>
      <c r="B69" s="942" t="s">
        <v>243</v>
      </c>
      <c r="C69" s="943" t="s">
        <v>243</v>
      </c>
    </row>
    <row r="70" spans="1:3" ht="55.35" customHeight="1">
      <c r="A70" s="390"/>
      <c r="B70" s="958" t="s">
        <v>688</v>
      </c>
      <c r="C70" s="959" t="s">
        <v>244</v>
      </c>
    </row>
    <row r="71" spans="1:3" ht="33.75" customHeight="1">
      <c r="A71" s="390"/>
      <c r="B71" s="958" t="s">
        <v>278</v>
      </c>
      <c r="C71" s="959" t="s">
        <v>245</v>
      </c>
    </row>
    <row r="72" spans="1:3" ht="15.75" customHeight="1">
      <c r="A72" s="390"/>
      <c r="B72" s="958" t="s">
        <v>860</v>
      </c>
      <c r="C72" s="959" t="s">
        <v>246</v>
      </c>
    </row>
    <row r="73" spans="1:3">
      <c r="A73" s="390"/>
      <c r="B73" s="942" t="s">
        <v>247</v>
      </c>
      <c r="C73" s="943" t="s">
        <v>247</v>
      </c>
    </row>
    <row r="74" spans="1:3" ht="12" thickBot="1">
      <c r="A74" s="157"/>
      <c r="B74" s="960" t="s">
        <v>248</v>
      </c>
      <c r="C74" s="961" t="s">
        <v>248</v>
      </c>
    </row>
    <row r="75" spans="1:3" ht="12" thickTop="1">
      <c r="A75" s="948" t="s">
        <v>302</v>
      </c>
      <c r="B75" s="949"/>
      <c r="C75" s="950"/>
    </row>
    <row r="76" spans="1:3">
      <c r="A76" s="390"/>
      <c r="B76" s="942" t="s">
        <v>240</v>
      </c>
      <c r="C76" s="943"/>
    </row>
    <row r="77" spans="1:3">
      <c r="A77" s="390"/>
      <c r="B77" s="942" t="s">
        <v>300</v>
      </c>
      <c r="C77" s="943"/>
    </row>
    <row r="78" spans="1:3">
      <c r="A78" s="390"/>
      <c r="B78" s="942" t="s">
        <v>301</v>
      </c>
      <c r="C78" s="943"/>
    </row>
    <row r="79" spans="1:3">
      <c r="A79" s="948" t="s">
        <v>303</v>
      </c>
      <c r="B79" s="949"/>
      <c r="C79" s="950"/>
    </row>
    <row r="80" spans="1:3">
      <c r="A80" s="390"/>
      <c r="B80" s="942" t="s">
        <v>240</v>
      </c>
      <c r="C80" s="943"/>
    </row>
    <row r="81" spans="1:3">
      <c r="A81" s="390"/>
      <c r="B81" s="942" t="s">
        <v>304</v>
      </c>
      <c r="C81" s="943"/>
    </row>
    <row r="82" spans="1:3" ht="79.5" customHeight="1">
      <c r="A82" s="390"/>
      <c r="B82" s="942" t="s">
        <v>318</v>
      </c>
      <c r="C82" s="943"/>
    </row>
    <row r="83" spans="1:3" ht="53.25" customHeight="1">
      <c r="A83" s="390"/>
      <c r="B83" s="942" t="s">
        <v>317</v>
      </c>
      <c r="C83" s="943"/>
    </row>
    <row r="84" spans="1:3">
      <c r="A84" s="390"/>
      <c r="B84" s="942" t="s">
        <v>305</v>
      </c>
      <c r="C84" s="943"/>
    </row>
    <row r="85" spans="1:3">
      <c r="A85" s="390"/>
      <c r="B85" s="942" t="s">
        <v>306</v>
      </c>
      <c r="C85" s="943"/>
    </row>
    <row r="86" spans="1:3">
      <c r="A86" s="390"/>
      <c r="B86" s="942" t="s">
        <v>307</v>
      </c>
      <c r="C86" s="943"/>
    </row>
    <row r="87" spans="1:3">
      <c r="A87" s="948" t="s">
        <v>308</v>
      </c>
      <c r="B87" s="949"/>
      <c r="C87" s="950"/>
    </row>
    <row r="88" spans="1:3">
      <c r="A88" s="390"/>
      <c r="B88" s="942" t="s">
        <v>240</v>
      </c>
      <c r="C88" s="943"/>
    </row>
    <row r="89" spans="1:3">
      <c r="A89" s="390"/>
      <c r="B89" s="942" t="s">
        <v>310</v>
      </c>
      <c r="C89" s="943"/>
    </row>
    <row r="90" spans="1:3" ht="12" customHeight="1">
      <c r="A90" s="390"/>
      <c r="B90" s="942" t="s">
        <v>311</v>
      </c>
      <c r="C90" s="943"/>
    </row>
    <row r="91" spans="1:3">
      <c r="A91" s="390"/>
      <c r="B91" s="942" t="s">
        <v>312</v>
      </c>
      <c r="C91" s="943"/>
    </row>
    <row r="92" spans="1:3" ht="24.75" customHeight="1">
      <c r="A92" s="390"/>
      <c r="B92" s="951" t="s">
        <v>348</v>
      </c>
      <c r="C92" s="952"/>
    </row>
    <row r="93" spans="1:3" ht="24" customHeight="1">
      <c r="A93" s="390"/>
      <c r="B93" s="951" t="s">
        <v>349</v>
      </c>
      <c r="C93" s="952"/>
    </row>
    <row r="94" spans="1:3" ht="13.5" customHeight="1">
      <c r="A94" s="390"/>
      <c r="B94" s="953" t="s">
        <v>313</v>
      </c>
      <c r="C94" s="954"/>
    </row>
    <row r="95" spans="1:3" ht="11.25" customHeight="1" thickBot="1">
      <c r="A95" s="955" t="s">
        <v>344</v>
      </c>
      <c r="B95" s="956"/>
      <c r="C95" s="957"/>
    </row>
    <row r="96" spans="1:3" ht="12.75" thickTop="1" thickBot="1">
      <c r="A96" s="947" t="s">
        <v>249</v>
      </c>
      <c r="B96" s="947"/>
      <c r="C96" s="947"/>
    </row>
    <row r="97" spans="1:3">
      <c r="A97" s="229">
        <v>2</v>
      </c>
      <c r="B97" s="375" t="s">
        <v>324</v>
      </c>
      <c r="C97" s="375" t="s">
        <v>345</v>
      </c>
    </row>
    <row r="98" spans="1:3">
      <c r="A98" s="161">
        <v>3</v>
      </c>
      <c r="B98" s="376" t="s">
        <v>325</v>
      </c>
      <c r="C98" s="377" t="s">
        <v>346</v>
      </c>
    </row>
    <row r="99" spans="1:3">
      <c r="A99" s="161">
        <v>4</v>
      </c>
      <c r="B99" s="376" t="s">
        <v>326</v>
      </c>
      <c r="C99" s="377" t="s">
        <v>350</v>
      </c>
    </row>
    <row r="100" spans="1:3" ht="11.25" customHeight="1">
      <c r="A100" s="161">
        <v>5</v>
      </c>
      <c r="B100" s="376" t="s">
        <v>327</v>
      </c>
      <c r="C100" s="377" t="s">
        <v>347</v>
      </c>
    </row>
    <row r="101" spans="1:3" ht="12" customHeight="1">
      <c r="A101" s="161">
        <v>6</v>
      </c>
      <c r="B101" s="376" t="s">
        <v>342</v>
      </c>
      <c r="C101" s="377" t="s">
        <v>328</v>
      </c>
    </row>
    <row r="102" spans="1:3" ht="12" customHeight="1">
      <c r="A102" s="161">
        <v>7</v>
      </c>
      <c r="B102" s="376" t="s">
        <v>329</v>
      </c>
      <c r="C102" s="377" t="s">
        <v>343</v>
      </c>
    </row>
    <row r="103" spans="1:3">
      <c r="A103" s="161">
        <v>8</v>
      </c>
      <c r="B103" s="376" t="s">
        <v>334</v>
      </c>
      <c r="C103" s="377" t="s">
        <v>354</v>
      </c>
    </row>
    <row r="104" spans="1:3" ht="11.25" customHeight="1">
      <c r="A104" s="948" t="s">
        <v>314</v>
      </c>
      <c r="B104" s="949"/>
      <c r="C104" s="950"/>
    </row>
    <row r="105" spans="1:3" ht="12" customHeight="1">
      <c r="A105" s="390"/>
      <c r="B105" s="942" t="s">
        <v>240</v>
      </c>
      <c r="C105" s="943"/>
    </row>
    <row r="106" spans="1:3">
      <c r="A106" s="948" t="s">
        <v>489</v>
      </c>
      <c r="B106" s="949"/>
      <c r="C106" s="950"/>
    </row>
    <row r="107" spans="1:3" ht="12" customHeight="1">
      <c r="A107" s="390"/>
      <c r="B107" s="942" t="s">
        <v>491</v>
      </c>
      <c r="C107" s="943"/>
    </row>
    <row r="108" spans="1:3">
      <c r="A108" s="390"/>
      <c r="B108" s="942" t="s">
        <v>492</v>
      </c>
      <c r="C108" s="943"/>
    </row>
    <row r="109" spans="1:3">
      <c r="A109" s="390"/>
      <c r="B109" s="942" t="s">
        <v>490</v>
      </c>
      <c r="C109" s="943"/>
    </row>
    <row r="110" spans="1:3">
      <c r="A110" s="939" t="s">
        <v>724</v>
      </c>
      <c r="B110" s="939"/>
      <c r="C110" s="939"/>
    </row>
    <row r="111" spans="1:3">
      <c r="A111" s="944" t="s">
        <v>187</v>
      </c>
      <c r="B111" s="944"/>
      <c r="C111" s="944"/>
    </row>
    <row r="112" spans="1:3">
      <c r="A112" s="597">
        <v>1</v>
      </c>
      <c r="B112" s="929" t="s">
        <v>607</v>
      </c>
      <c r="C112" s="930"/>
    </row>
    <row r="113" spans="1:3">
      <c r="A113" s="597">
        <v>2</v>
      </c>
      <c r="B113" s="945" t="s">
        <v>608</v>
      </c>
      <c r="C113" s="946"/>
    </row>
    <row r="114" spans="1:3">
      <c r="A114" s="597">
        <v>3</v>
      </c>
      <c r="B114" s="929" t="s">
        <v>934</v>
      </c>
      <c r="C114" s="930"/>
    </row>
    <row r="115" spans="1:3">
      <c r="A115" s="597">
        <v>4</v>
      </c>
      <c r="B115" s="929" t="s">
        <v>933</v>
      </c>
      <c r="C115" s="930"/>
    </row>
    <row r="116" spans="1:3">
      <c r="A116" s="597">
        <v>5</v>
      </c>
      <c r="B116" s="601" t="s">
        <v>932</v>
      </c>
      <c r="C116" s="600"/>
    </row>
    <row r="117" spans="1:3">
      <c r="A117" s="597">
        <v>6</v>
      </c>
      <c r="B117" s="929" t="s">
        <v>945</v>
      </c>
      <c r="C117" s="930"/>
    </row>
    <row r="118" spans="1:3" ht="48.6" customHeight="1">
      <c r="A118" s="597">
        <v>7</v>
      </c>
      <c r="B118" s="929" t="s">
        <v>946</v>
      </c>
      <c r="C118" s="930"/>
    </row>
    <row r="119" spans="1:3">
      <c r="A119" s="571">
        <v>8</v>
      </c>
      <c r="B119" s="568" t="s">
        <v>634</v>
      </c>
      <c r="C119" s="594" t="s">
        <v>931</v>
      </c>
    </row>
    <row r="120" spans="1:3" ht="22.5">
      <c r="A120" s="597">
        <v>9.01</v>
      </c>
      <c r="B120" s="568" t="s">
        <v>518</v>
      </c>
      <c r="C120" s="581" t="s">
        <v>683</v>
      </c>
    </row>
    <row r="121" spans="1:3" ht="33.75">
      <c r="A121" s="597">
        <v>9.02</v>
      </c>
      <c r="B121" s="568" t="s">
        <v>519</v>
      </c>
      <c r="C121" s="581" t="s">
        <v>686</v>
      </c>
    </row>
    <row r="122" spans="1:3">
      <c r="A122" s="597">
        <v>9.0299999999999994</v>
      </c>
      <c r="B122" s="584" t="s">
        <v>868</v>
      </c>
      <c r="C122" s="584" t="s">
        <v>609</v>
      </c>
    </row>
    <row r="123" spans="1:3">
      <c r="A123" s="597">
        <v>9.0399999999999991</v>
      </c>
      <c r="B123" s="568" t="s">
        <v>520</v>
      </c>
      <c r="C123" s="584" t="s">
        <v>610</v>
      </c>
    </row>
    <row r="124" spans="1:3">
      <c r="A124" s="597">
        <v>9.0500000000000007</v>
      </c>
      <c r="B124" s="568" t="s">
        <v>521</v>
      </c>
      <c r="C124" s="584" t="s">
        <v>611</v>
      </c>
    </row>
    <row r="125" spans="1:3" ht="22.5">
      <c r="A125" s="597">
        <v>9.06</v>
      </c>
      <c r="B125" s="568" t="s">
        <v>522</v>
      </c>
      <c r="C125" s="584" t="s">
        <v>612</v>
      </c>
    </row>
    <row r="126" spans="1:3">
      <c r="A126" s="597">
        <v>9.07</v>
      </c>
      <c r="B126" s="599" t="s">
        <v>523</v>
      </c>
      <c r="C126" s="584" t="s">
        <v>613</v>
      </c>
    </row>
    <row r="127" spans="1:3" ht="22.5">
      <c r="A127" s="597">
        <v>9.08</v>
      </c>
      <c r="B127" s="568" t="s">
        <v>524</v>
      </c>
      <c r="C127" s="584" t="s">
        <v>614</v>
      </c>
    </row>
    <row r="128" spans="1:3" ht="22.5">
      <c r="A128" s="597">
        <v>9.09</v>
      </c>
      <c r="B128" s="568" t="s">
        <v>525</v>
      </c>
      <c r="C128" s="584" t="s">
        <v>615</v>
      </c>
    </row>
    <row r="129" spans="1:3">
      <c r="A129" s="598">
        <v>9.1</v>
      </c>
      <c r="B129" s="568" t="s">
        <v>526</v>
      </c>
      <c r="C129" s="584" t="s">
        <v>616</v>
      </c>
    </row>
    <row r="130" spans="1:3">
      <c r="A130" s="597">
        <v>9.11</v>
      </c>
      <c r="B130" s="568" t="s">
        <v>527</v>
      </c>
      <c r="C130" s="584" t="s">
        <v>617</v>
      </c>
    </row>
    <row r="131" spans="1:3">
      <c r="A131" s="597">
        <v>9.1199999999999992</v>
      </c>
      <c r="B131" s="568" t="s">
        <v>528</v>
      </c>
      <c r="C131" s="584" t="s">
        <v>618</v>
      </c>
    </row>
    <row r="132" spans="1:3">
      <c r="A132" s="597">
        <v>9.1300000000000008</v>
      </c>
      <c r="B132" s="568" t="s">
        <v>529</v>
      </c>
      <c r="C132" s="584" t="s">
        <v>619</v>
      </c>
    </row>
    <row r="133" spans="1:3">
      <c r="A133" s="597">
        <v>9.14</v>
      </c>
      <c r="B133" s="568" t="s">
        <v>530</v>
      </c>
      <c r="C133" s="584" t="s">
        <v>620</v>
      </c>
    </row>
    <row r="134" spans="1:3">
      <c r="A134" s="597">
        <v>9.15</v>
      </c>
      <c r="B134" s="568" t="s">
        <v>531</v>
      </c>
      <c r="C134" s="584" t="s">
        <v>621</v>
      </c>
    </row>
    <row r="135" spans="1:3" ht="22.5">
      <c r="A135" s="597">
        <v>9.16</v>
      </c>
      <c r="B135" s="568" t="s">
        <v>532</v>
      </c>
      <c r="C135" s="584" t="s">
        <v>622</v>
      </c>
    </row>
    <row r="136" spans="1:3">
      <c r="A136" s="597">
        <v>9.17</v>
      </c>
      <c r="B136" s="584" t="s">
        <v>533</v>
      </c>
      <c r="C136" s="584" t="s">
        <v>623</v>
      </c>
    </row>
    <row r="137" spans="1:3" ht="22.5">
      <c r="A137" s="597">
        <v>9.18</v>
      </c>
      <c r="B137" s="568" t="s">
        <v>534</v>
      </c>
      <c r="C137" s="584" t="s">
        <v>624</v>
      </c>
    </row>
    <row r="138" spans="1:3">
      <c r="A138" s="597">
        <v>9.19</v>
      </c>
      <c r="B138" s="568" t="s">
        <v>535</v>
      </c>
      <c r="C138" s="584" t="s">
        <v>625</v>
      </c>
    </row>
    <row r="139" spans="1:3">
      <c r="A139" s="598">
        <v>9.1999999999999993</v>
      </c>
      <c r="B139" s="568" t="s">
        <v>536</v>
      </c>
      <c r="C139" s="584" t="s">
        <v>626</v>
      </c>
    </row>
    <row r="140" spans="1:3">
      <c r="A140" s="597">
        <v>9.2100000000000009</v>
      </c>
      <c r="B140" s="568" t="s">
        <v>537</v>
      </c>
      <c r="C140" s="584" t="s">
        <v>627</v>
      </c>
    </row>
    <row r="141" spans="1:3">
      <c r="A141" s="597">
        <v>9.2200000000000006</v>
      </c>
      <c r="B141" s="568" t="s">
        <v>538</v>
      </c>
      <c r="C141" s="584" t="s">
        <v>628</v>
      </c>
    </row>
    <row r="142" spans="1:3" ht="22.5">
      <c r="A142" s="597">
        <v>9.23</v>
      </c>
      <c r="B142" s="568" t="s">
        <v>539</v>
      </c>
      <c r="C142" s="584" t="s">
        <v>629</v>
      </c>
    </row>
    <row r="143" spans="1:3" ht="22.5">
      <c r="A143" s="597">
        <v>9.24</v>
      </c>
      <c r="B143" s="568" t="s">
        <v>540</v>
      </c>
      <c r="C143" s="584" t="s">
        <v>630</v>
      </c>
    </row>
    <row r="144" spans="1:3">
      <c r="A144" s="597">
        <v>9.2500000000000107</v>
      </c>
      <c r="B144" s="568" t="s">
        <v>541</v>
      </c>
      <c r="C144" s="584" t="s">
        <v>631</v>
      </c>
    </row>
    <row r="145" spans="1:3" ht="22.5">
      <c r="A145" s="597">
        <v>9.2600000000000193</v>
      </c>
      <c r="B145" s="568" t="s">
        <v>632</v>
      </c>
      <c r="C145" s="596" t="s">
        <v>633</v>
      </c>
    </row>
    <row r="146" spans="1:3" s="391" customFormat="1" ht="22.5">
      <c r="A146" s="597">
        <v>9.2700000000000298</v>
      </c>
      <c r="B146" s="568" t="s">
        <v>99</v>
      </c>
      <c r="C146" s="596" t="s">
        <v>684</v>
      </c>
    </row>
    <row r="147" spans="1:3" s="391" customFormat="1">
      <c r="A147" s="572"/>
      <c r="B147" s="925" t="s">
        <v>635</v>
      </c>
      <c r="C147" s="926"/>
    </row>
    <row r="148" spans="1:3" s="391" customFormat="1">
      <c r="A148" s="571">
        <v>1</v>
      </c>
      <c r="B148" s="931" t="s">
        <v>930</v>
      </c>
      <c r="C148" s="932"/>
    </row>
    <row r="149" spans="1:3" s="391" customFormat="1">
      <c r="A149" s="571">
        <v>2</v>
      </c>
      <c r="B149" s="931" t="s">
        <v>685</v>
      </c>
      <c r="C149" s="932"/>
    </row>
    <row r="150" spans="1:3" s="391" customFormat="1">
      <c r="A150" s="571">
        <v>3</v>
      </c>
      <c r="B150" s="931" t="s">
        <v>682</v>
      </c>
      <c r="C150" s="932"/>
    </row>
    <row r="151" spans="1:3" s="391" customFormat="1">
      <c r="A151" s="572"/>
      <c r="B151" s="925" t="s">
        <v>636</v>
      </c>
      <c r="C151" s="926"/>
    </row>
    <row r="152" spans="1:3" s="391" customFormat="1">
      <c r="A152" s="571">
        <v>1</v>
      </c>
      <c r="B152" s="933" t="s">
        <v>929</v>
      </c>
      <c r="C152" s="934"/>
    </row>
    <row r="153" spans="1:3" s="391" customFormat="1">
      <c r="A153" s="571">
        <v>2</v>
      </c>
      <c r="B153" s="568" t="s">
        <v>866</v>
      </c>
      <c r="C153" s="594" t="s">
        <v>950</v>
      </c>
    </row>
    <row r="154" spans="1:3" ht="22.5">
      <c r="A154" s="571">
        <v>3</v>
      </c>
      <c r="B154" s="568" t="s">
        <v>865</v>
      </c>
      <c r="C154" s="594" t="s">
        <v>928</v>
      </c>
    </row>
    <row r="155" spans="1:3">
      <c r="A155" s="571">
        <v>4</v>
      </c>
      <c r="B155" s="568" t="s">
        <v>511</v>
      </c>
      <c r="C155" s="568" t="s">
        <v>951</v>
      </c>
    </row>
    <row r="156" spans="1:3" ht="25.35" customHeight="1">
      <c r="A156" s="572"/>
      <c r="B156" s="925" t="s">
        <v>637</v>
      </c>
      <c r="C156" s="926"/>
    </row>
    <row r="157" spans="1:3" ht="33.75">
      <c r="A157" s="571"/>
      <c r="B157" s="568" t="s">
        <v>917</v>
      </c>
      <c r="C157" s="573" t="s">
        <v>952</v>
      </c>
    </row>
    <row r="158" spans="1:3">
      <c r="A158" s="572"/>
      <c r="B158" s="925" t="s">
        <v>638</v>
      </c>
      <c r="C158" s="926"/>
    </row>
    <row r="159" spans="1:3" ht="39" customHeight="1">
      <c r="A159" s="572"/>
      <c r="B159" s="927" t="s">
        <v>927</v>
      </c>
      <c r="C159" s="928"/>
    </row>
    <row r="160" spans="1:3">
      <c r="A160" s="572" t="s">
        <v>639</v>
      </c>
      <c r="B160" s="595" t="s">
        <v>549</v>
      </c>
      <c r="C160" s="586" t="s">
        <v>640</v>
      </c>
    </row>
    <row r="161" spans="1:3">
      <c r="A161" s="572" t="s">
        <v>369</v>
      </c>
      <c r="B161" s="592" t="s">
        <v>550</v>
      </c>
      <c r="C161" s="594" t="s">
        <v>926</v>
      </c>
    </row>
    <row r="162" spans="1:3" ht="22.5">
      <c r="A162" s="572" t="s">
        <v>376</v>
      </c>
      <c r="B162" s="586" t="s">
        <v>551</v>
      </c>
      <c r="C162" s="594" t="s">
        <v>641</v>
      </c>
    </row>
    <row r="163" spans="1:3">
      <c r="A163" s="572" t="s">
        <v>642</v>
      </c>
      <c r="B163" s="592" t="s">
        <v>552</v>
      </c>
      <c r="C163" s="593" t="s">
        <v>643</v>
      </c>
    </row>
    <row r="164" spans="1:3" ht="22.5">
      <c r="A164" s="572" t="s">
        <v>644</v>
      </c>
      <c r="B164" s="592" t="s">
        <v>881</v>
      </c>
      <c r="C164" s="591" t="s">
        <v>925</v>
      </c>
    </row>
    <row r="165" spans="1:3" ht="22.5">
      <c r="A165" s="572" t="s">
        <v>377</v>
      </c>
      <c r="B165" s="592" t="s">
        <v>553</v>
      </c>
      <c r="C165" s="591" t="s">
        <v>646</v>
      </c>
    </row>
    <row r="166" spans="1:3" ht="22.5">
      <c r="A166" s="572" t="s">
        <v>645</v>
      </c>
      <c r="B166" s="589" t="s">
        <v>556</v>
      </c>
      <c r="C166" s="590" t="s">
        <v>653</v>
      </c>
    </row>
    <row r="167" spans="1:3" ht="22.5">
      <c r="A167" s="572" t="s">
        <v>647</v>
      </c>
      <c r="B167" s="589" t="s">
        <v>554</v>
      </c>
      <c r="C167" s="591" t="s">
        <v>649</v>
      </c>
    </row>
    <row r="168" spans="1:3" ht="26.85" customHeight="1">
      <c r="A168" s="572" t="s">
        <v>648</v>
      </c>
      <c r="B168" s="589" t="s">
        <v>555</v>
      </c>
      <c r="C168" s="590" t="s">
        <v>651</v>
      </c>
    </row>
    <row r="169" spans="1:3" ht="22.5">
      <c r="A169" s="572" t="s">
        <v>650</v>
      </c>
      <c r="B169" s="566" t="s">
        <v>557</v>
      </c>
      <c r="C169" s="590" t="s">
        <v>655</v>
      </c>
    </row>
    <row r="170" spans="1:3" ht="22.5">
      <c r="A170" s="572" t="s">
        <v>652</v>
      </c>
      <c r="B170" s="589" t="s">
        <v>558</v>
      </c>
      <c r="C170" s="588" t="s">
        <v>656</v>
      </c>
    </row>
    <row r="171" spans="1:3">
      <c r="A171" s="572" t="s">
        <v>654</v>
      </c>
      <c r="B171" s="587" t="s">
        <v>559</v>
      </c>
      <c r="C171" s="586" t="s">
        <v>657</v>
      </c>
    </row>
    <row r="172" spans="1:3" ht="22.5">
      <c r="A172" s="572"/>
      <c r="B172" s="585" t="s">
        <v>924</v>
      </c>
      <c r="C172" s="584" t="s">
        <v>658</v>
      </c>
    </row>
    <row r="173" spans="1:3" ht="22.5">
      <c r="A173" s="572"/>
      <c r="B173" s="585" t="s">
        <v>923</v>
      </c>
      <c r="C173" s="584" t="s">
        <v>659</v>
      </c>
    </row>
    <row r="174" spans="1:3" ht="22.5">
      <c r="A174" s="572"/>
      <c r="B174" s="585" t="s">
        <v>922</v>
      </c>
      <c r="C174" s="584" t="s">
        <v>660</v>
      </c>
    </row>
    <row r="175" spans="1:3">
      <c r="A175" s="572"/>
      <c r="B175" s="925" t="s">
        <v>661</v>
      </c>
      <c r="C175" s="926"/>
    </row>
    <row r="176" spans="1:3">
      <c r="A176" s="572"/>
      <c r="B176" s="931" t="s">
        <v>921</v>
      </c>
      <c r="C176" s="932"/>
    </row>
    <row r="177" spans="1:3">
      <c r="A177" s="571">
        <v>1</v>
      </c>
      <c r="B177" s="584" t="s">
        <v>563</v>
      </c>
      <c r="C177" s="584" t="s">
        <v>563</v>
      </c>
    </row>
    <row r="178" spans="1:3" ht="33.75">
      <c r="A178" s="571">
        <v>2</v>
      </c>
      <c r="B178" s="584" t="s">
        <v>662</v>
      </c>
      <c r="C178" s="584" t="s">
        <v>663</v>
      </c>
    </row>
    <row r="179" spans="1:3">
      <c r="A179" s="571">
        <v>3</v>
      </c>
      <c r="B179" s="584" t="s">
        <v>565</v>
      </c>
      <c r="C179" s="584" t="s">
        <v>664</v>
      </c>
    </row>
    <row r="180" spans="1:3" ht="22.5">
      <c r="A180" s="571">
        <v>4</v>
      </c>
      <c r="B180" s="584" t="s">
        <v>566</v>
      </c>
      <c r="C180" s="584" t="s">
        <v>665</v>
      </c>
    </row>
    <row r="181" spans="1:3" ht="22.5">
      <c r="A181" s="571">
        <v>5</v>
      </c>
      <c r="B181" s="584" t="s">
        <v>567</v>
      </c>
      <c r="C181" s="584" t="s">
        <v>687</v>
      </c>
    </row>
    <row r="182" spans="1:3" ht="45">
      <c r="A182" s="571">
        <v>6</v>
      </c>
      <c r="B182" s="584" t="s">
        <v>568</v>
      </c>
      <c r="C182" s="584" t="s">
        <v>666</v>
      </c>
    </row>
    <row r="183" spans="1:3">
      <c r="A183" s="572"/>
      <c r="B183" s="925" t="s">
        <v>667</v>
      </c>
      <c r="C183" s="926"/>
    </row>
    <row r="184" spans="1:3">
      <c r="A184" s="572"/>
      <c r="B184" s="936" t="s">
        <v>920</v>
      </c>
      <c r="C184" s="937"/>
    </row>
    <row r="185" spans="1:3" ht="22.5">
      <c r="A185" s="572">
        <v>1.1000000000000001</v>
      </c>
      <c r="B185" s="583" t="s">
        <v>573</v>
      </c>
      <c r="C185" s="581" t="s">
        <v>668</v>
      </c>
    </row>
    <row r="186" spans="1:3" ht="50.1" customHeight="1">
      <c r="A186" s="572" t="s">
        <v>157</v>
      </c>
      <c r="B186" s="567" t="s">
        <v>574</v>
      </c>
      <c r="C186" s="581" t="s">
        <v>669</v>
      </c>
    </row>
    <row r="187" spans="1:3">
      <c r="A187" s="572" t="s">
        <v>575</v>
      </c>
      <c r="B187" s="582" t="s">
        <v>576</v>
      </c>
      <c r="C187" s="938" t="s">
        <v>919</v>
      </c>
    </row>
    <row r="188" spans="1:3">
      <c r="A188" s="572" t="s">
        <v>577</v>
      </c>
      <c r="B188" s="582" t="s">
        <v>578</v>
      </c>
      <c r="C188" s="938"/>
    </row>
    <row r="189" spans="1:3">
      <c r="A189" s="572" t="s">
        <v>579</v>
      </c>
      <c r="B189" s="582" t="s">
        <v>580</v>
      </c>
      <c r="C189" s="938"/>
    </row>
    <row r="190" spans="1:3">
      <c r="A190" s="572" t="s">
        <v>581</v>
      </c>
      <c r="B190" s="582" t="s">
        <v>582</v>
      </c>
      <c r="C190" s="938"/>
    </row>
    <row r="191" spans="1:3" ht="25.5" customHeight="1">
      <c r="A191" s="572">
        <v>1.2</v>
      </c>
      <c r="B191" s="580" t="s">
        <v>895</v>
      </c>
      <c r="C191" s="565" t="s">
        <v>953</v>
      </c>
    </row>
    <row r="192" spans="1:3" ht="22.5">
      <c r="A192" s="572" t="s">
        <v>584</v>
      </c>
      <c r="B192" s="575" t="s">
        <v>585</v>
      </c>
      <c r="C192" s="578" t="s">
        <v>670</v>
      </c>
    </row>
    <row r="193" spans="1:4" ht="22.5">
      <c r="A193" s="572" t="s">
        <v>586</v>
      </c>
      <c r="B193" s="579" t="s">
        <v>587</v>
      </c>
      <c r="C193" s="578" t="s">
        <v>671</v>
      </c>
    </row>
    <row r="194" spans="1:4" ht="26.1" customHeight="1">
      <c r="A194" s="572" t="s">
        <v>588</v>
      </c>
      <c r="B194" s="577" t="s">
        <v>589</v>
      </c>
      <c r="C194" s="565" t="s">
        <v>672</v>
      </c>
    </row>
    <row r="195" spans="1:4" ht="22.5">
      <c r="A195" s="572" t="s">
        <v>590</v>
      </c>
      <c r="B195" s="576" t="s">
        <v>591</v>
      </c>
      <c r="C195" s="565" t="s">
        <v>673</v>
      </c>
      <c r="D195" s="392"/>
    </row>
    <row r="196" spans="1:4" ht="22.5">
      <c r="A196" s="572">
        <v>1.4</v>
      </c>
      <c r="B196" s="575" t="s">
        <v>680</v>
      </c>
      <c r="C196" s="574" t="s">
        <v>674</v>
      </c>
      <c r="D196" s="393"/>
    </row>
    <row r="197" spans="1:4" ht="12.75">
      <c r="A197" s="572">
        <v>1.5</v>
      </c>
      <c r="B197" s="575" t="s">
        <v>681</v>
      </c>
      <c r="C197" s="574" t="s">
        <v>674</v>
      </c>
      <c r="D197" s="394"/>
    </row>
    <row r="198" spans="1:4" ht="12.75">
      <c r="A198" s="572"/>
      <c r="B198" s="939" t="s">
        <v>675</v>
      </c>
      <c r="C198" s="939"/>
      <c r="D198" s="394"/>
    </row>
    <row r="199" spans="1:4" ht="12.75">
      <c r="A199" s="572"/>
      <c r="B199" s="936" t="s">
        <v>918</v>
      </c>
      <c r="C199" s="936"/>
      <c r="D199" s="394"/>
    </row>
    <row r="200" spans="1:4" ht="12.75">
      <c r="A200" s="571"/>
      <c r="B200" s="568" t="s">
        <v>917</v>
      </c>
      <c r="C200" s="573" t="s">
        <v>950</v>
      </c>
      <c r="D200" s="394"/>
    </row>
    <row r="201" spans="1:4" ht="12.75">
      <c r="A201" s="572"/>
      <c r="B201" s="939" t="s">
        <v>676</v>
      </c>
      <c r="C201" s="939"/>
      <c r="D201" s="395"/>
    </row>
    <row r="202" spans="1:4" ht="12.75">
      <c r="A202" s="571"/>
      <c r="B202" s="940" t="s">
        <v>916</v>
      </c>
      <c r="C202" s="940"/>
      <c r="D202" s="396"/>
    </row>
    <row r="203" spans="1:4" ht="12.75">
      <c r="B203" s="939" t="s">
        <v>714</v>
      </c>
      <c r="C203" s="939"/>
      <c r="D203" s="397"/>
    </row>
    <row r="204" spans="1:4" ht="22.5">
      <c r="A204" s="567">
        <v>1</v>
      </c>
      <c r="B204" s="568" t="s">
        <v>690</v>
      </c>
      <c r="C204" s="565" t="s">
        <v>702</v>
      </c>
      <c r="D204" s="396"/>
    </row>
    <row r="205" spans="1:4" ht="18" customHeight="1">
      <c r="A205" s="567">
        <v>2</v>
      </c>
      <c r="B205" s="568" t="s">
        <v>691</v>
      </c>
      <c r="C205" s="565" t="s">
        <v>703</v>
      </c>
      <c r="D205" s="397"/>
    </row>
    <row r="206" spans="1:4" ht="22.5">
      <c r="A206" s="567">
        <v>3</v>
      </c>
      <c r="B206" s="568" t="s">
        <v>692</v>
      </c>
      <c r="C206" s="568" t="s">
        <v>704</v>
      </c>
      <c r="D206" s="398"/>
    </row>
    <row r="207" spans="1:4" ht="12.75">
      <c r="A207" s="567">
        <v>4</v>
      </c>
      <c r="B207" s="568" t="s">
        <v>693</v>
      </c>
      <c r="C207" s="568" t="s">
        <v>705</v>
      </c>
      <c r="D207" s="398"/>
    </row>
    <row r="208" spans="1:4" ht="22.5">
      <c r="A208" s="567">
        <v>5</v>
      </c>
      <c r="B208" s="568" t="s">
        <v>694</v>
      </c>
      <c r="C208" s="568" t="s">
        <v>706</v>
      </c>
    </row>
    <row r="209" spans="1:3" ht="24.6" customHeight="1">
      <c r="A209" s="567">
        <v>6</v>
      </c>
      <c r="B209" s="568" t="s">
        <v>695</v>
      </c>
      <c r="C209" s="568" t="s">
        <v>707</v>
      </c>
    </row>
    <row r="210" spans="1:3" ht="22.5">
      <c r="A210" s="567">
        <v>7</v>
      </c>
      <c r="B210" s="568" t="s">
        <v>696</v>
      </c>
      <c r="C210" s="568" t="s">
        <v>708</v>
      </c>
    </row>
    <row r="211" spans="1:3">
      <c r="A211" s="567">
        <v>7.1</v>
      </c>
      <c r="B211" s="570" t="s">
        <v>697</v>
      </c>
      <c r="C211" s="568" t="s">
        <v>709</v>
      </c>
    </row>
    <row r="212" spans="1:3" ht="22.5">
      <c r="A212" s="567">
        <v>7.2</v>
      </c>
      <c r="B212" s="570" t="s">
        <v>698</v>
      </c>
      <c r="C212" s="568" t="s">
        <v>710</v>
      </c>
    </row>
    <row r="213" spans="1:3">
      <c r="A213" s="567">
        <v>7.3</v>
      </c>
      <c r="B213" s="569" t="s">
        <v>699</v>
      </c>
      <c r="C213" s="568" t="s">
        <v>711</v>
      </c>
    </row>
    <row r="214" spans="1:3" ht="39.6" customHeight="1">
      <c r="A214" s="567">
        <v>8</v>
      </c>
      <c r="B214" s="568" t="s">
        <v>700</v>
      </c>
      <c r="C214" s="565" t="s">
        <v>712</v>
      </c>
    </row>
    <row r="215" spans="1:3">
      <c r="A215" s="567">
        <v>9</v>
      </c>
      <c r="B215" s="568" t="s">
        <v>701</v>
      </c>
      <c r="C215" s="565" t="s">
        <v>713</v>
      </c>
    </row>
    <row r="216" spans="1:3" ht="22.5">
      <c r="A216" s="610">
        <v>10.1</v>
      </c>
      <c r="B216" s="611" t="s">
        <v>721</v>
      </c>
      <c r="C216" s="602" t="s">
        <v>722</v>
      </c>
    </row>
    <row r="217" spans="1:3">
      <c r="A217" s="941"/>
      <c r="B217" s="612" t="s">
        <v>908</v>
      </c>
      <c r="C217" s="565" t="s">
        <v>915</v>
      </c>
    </row>
    <row r="218" spans="1:3">
      <c r="A218" s="941"/>
      <c r="B218" s="566" t="s">
        <v>572</v>
      </c>
      <c r="C218" s="565" t="s">
        <v>914</v>
      </c>
    </row>
    <row r="219" spans="1:3">
      <c r="A219" s="941"/>
      <c r="B219" s="566" t="s">
        <v>907</v>
      </c>
      <c r="C219" s="565" t="s">
        <v>954</v>
      </c>
    </row>
    <row r="220" spans="1:3">
      <c r="A220" s="941"/>
      <c r="B220" s="566" t="s">
        <v>715</v>
      </c>
      <c r="C220" s="565" t="s">
        <v>913</v>
      </c>
    </row>
    <row r="221" spans="1:3" ht="22.5">
      <c r="A221" s="941"/>
      <c r="B221" s="566" t="s">
        <v>719</v>
      </c>
      <c r="C221" s="581" t="s">
        <v>912</v>
      </c>
    </row>
    <row r="222" spans="1:3" ht="33.75">
      <c r="A222" s="941"/>
      <c r="B222" s="566" t="s">
        <v>718</v>
      </c>
      <c r="C222" s="565" t="s">
        <v>911</v>
      </c>
    </row>
    <row r="223" spans="1:3">
      <c r="A223" s="941"/>
      <c r="B223" s="566" t="s">
        <v>955</v>
      </c>
      <c r="C223" s="565" t="s">
        <v>910</v>
      </c>
    </row>
    <row r="224" spans="1:3" ht="22.5">
      <c r="A224" s="941"/>
      <c r="B224" s="566" t="s">
        <v>956</v>
      </c>
      <c r="C224" s="565" t="s">
        <v>909</v>
      </c>
    </row>
    <row r="225" spans="1:3" ht="12.75">
      <c r="A225" s="603"/>
      <c r="B225" s="604"/>
      <c r="C225" s="605"/>
    </row>
    <row r="226" spans="1:3" ht="12.75">
      <c r="A226" s="603"/>
      <c r="B226" s="605"/>
      <c r="C226" s="606"/>
    </row>
    <row r="227" spans="1:3" ht="12.75">
      <c r="A227" s="603"/>
      <c r="B227" s="605"/>
      <c r="C227" s="606"/>
    </row>
    <row r="228" spans="1:3" ht="12.75">
      <c r="A228" s="603"/>
      <c r="B228" s="607"/>
      <c r="C228" s="606"/>
    </row>
    <row r="229" spans="1:3" ht="12.75">
      <c r="A229" s="935"/>
      <c r="B229" s="608"/>
      <c r="C229" s="606"/>
    </row>
    <row r="230" spans="1:3" ht="12.75">
      <c r="A230" s="935"/>
      <c r="B230" s="608"/>
      <c r="C230" s="606"/>
    </row>
    <row r="231" spans="1:3" ht="12.75">
      <c r="A231" s="935"/>
      <c r="B231" s="608"/>
      <c r="C231" s="606"/>
    </row>
    <row r="232" spans="1:3" ht="12.75">
      <c r="A232" s="935"/>
      <c r="B232" s="608"/>
      <c r="C232" s="609"/>
    </row>
    <row r="233" spans="1:3" ht="40.5" customHeight="1">
      <c r="A233" s="935"/>
      <c r="B233" s="608"/>
      <c r="C233" s="606"/>
    </row>
    <row r="234" spans="1:3" ht="24" customHeight="1">
      <c r="A234" s="935"/>
      <c r="B234" s="608"/>
      <c r="C234" s="606"/>
    </row>
    <row r="235" spans="1:3" ht="12.75">
      <c r="A235" s="935"/>
      <c r="B235" s="608"/>
      <c r="C235" s="606"/>
    </row>
  </sheetData>
  <mergeCells count="131">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6:C66"/>
    <mergeCell ref="B67:C67"/>
    <mergeCell ref="B68:C68"/>
    <mergeCell ref="B69:C69"/>
    <mergeCell ref="B70:C70"/>
    <mergeCell ref="B71:C71"/>
    <mergeCell ref="B60:C60"/>
    <mergeCell ref="B61:C61"/>
    <mergeCell ref="B62:C62"/>
    <mergeCell ref="B63:C63"/>
    <mergeCell ref="A64:C64"/>
    <mergeCell ref="B65:C65"/>
    <mergeCell ref="B78:C78"/>
    <mergeCell ref="A79:C79"/>
    <mergeCell ref="B80:C80"/>
    <mergeCell ref="B81:C81"/>
    <mergeCell ref="B82:C82"/>
    <mergeCell ref="B83:C83"/>
    <mergeCell ref="B72:C72"/>
    <mergeCell ref="B73:C73"/>
    <mergeCell ref="B74:C74"/>
    <mergeCell ref="A75:C75"/>
    <mergeCell ref="B76:C76"/>
    <mergeCell ref="B77:C77"/>
    <mergeCell ref="B90:C90"/>
    <mergeCell ref="B91:C91"/>
    <mergeCell ref="B92:C92"/>
    <mergeCell ref="B93:C93"/>
    <mergeCell ref="B94:C94"/>
    <mergeCell ref="A95:C95"/>
    <mergeCell ref="B84:C84"/>
    <mergeCell ref="B85:C85"/>
    <mergeCell ref="B86:C86"/>
    <mergeCell ref="A87:C87"/>
    <mergeCell ref="B88:C88"/>
    <mergeCell ref="B89:C89"/>
    <mergeCell ref="B109:C109"/>
    <mergeCell ref="A110:C110"/>
    <mergeCell ref="A111:C111"/>
    <mergeCell ref="B112:C112"/>
    <mergeCell ref="B113:C113"/>
    <mergeCell ref="B114:C114"/>
    <mergeCell ref="A96:C96"/>
    <mergeCell ref="A104:C104"/>
    <mergeCell ref="B105:C105"/>
    <mergeCell ref="A106:C106"/>
    <mergeCell ref="B107:C107"/>
    <mergeCell ref="B108:C108"/>
    <mergeCell ref="A229:A235"/>
    <mergeCell ref="B175:C175"/>
    <mergeCell ref="B176:C176"/>
    <mergeCell ref="B183:C183"/>
    <mergeCell ref="B184:C184"/>
    <mergeCell ref="C187:C190"/>
    <mergeCell ref="B198:C198"/>
    <mergeCell ref="B199:C199"/>
    <mergeCell ref="B201:C201"/>
    <mergeCell ref="B202:C202"/>
    <mergeCell ref="B203:C203"/>
    <mergeCell ref="A217:A224"/>
    <mergeCell ref="B156:C156"/>
    <mergeCell ref="B158:C158"/>
    <mergeCell ref="B159:C159"/>
    <mergeCell ref="B115:C115"/>
    <mergeCell ref="B117:C117"/>
    <mergeCell ref="B118:C118"/>
    <mergeCell ref="B147:C147"/>
    <mergeCell ref="B148:C148"/>
    <mergeCell ref="B149:C149"/>
    <mergeCell ref="B150:C150"/>
    <mergeCell ref="B151:C151"/>
    <mergeCell ref="B152:C152"/>
  </mergeCells>
  <conditionalFormatting sqref="B225">
    <cfRule type="duplicateValues" dxfId="7" priority="5"/>
    <cfRule type="duplicateValues" dxfId="6" priority="6"/>
  </conditionalFormatting>
  <conditionalFormatting sqref="B225">
    <cfRule type="duplicateValues" dxfId="5" priority="7"/>
  </conditionalFormatting>
  <conditionalFormatting sqref="B225">
    <cfRule type="duplicateValues" dxfId="4" priority="8"/>
  </conditionalFormatting>
  <conditionalFormatting sqref="B213">
    <cfRule type="duplicateValues" dxfId="3" priority="1"/>
    <cfRule type="duplicateValues" dxfId="2" priority="2"/>
  </conditionalFormatting>
  <conditionalFormatting sqref="B213">
    <cfRule type="duplicateValues" dxfId="1" priority="3"/>
  </conditionalFormatting>
  <conditionalFormatting sqref="B213">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68"/>
  <sheetViews>
    <sheetView topLeftCell="A26" zoomScale="80" zoomScaleNormal="80" workbookViewId="0">
      <selection activeCell="F6" sqref="F6:G54"/>
    </sheetView>
  </sheetViews>
  <sheetFormatPr defaultRowHeight="15"/>
  <cols>
    <col min="2" max="2" width="66.7109375" customWidth="1"/>
    <col min="3" max="8" width="17.7109375" customWidth="1"/>
  </cols>
  <sheetData>
    <row r="1" spans="1:8" ht="15.75">
      <c r="A1" s="17" t="s">
        <v>108</v>
      </c>
      <c r="B1" s="305" t="str">
        <f>Info!C2</f>
        <v>JSC "VTB Bank (Georgia)"</v>
      </c>
      <c r="C1" s="16"/>
      <c r="D1" s="226"/>
      <c r="E1" s="226"/>
      <c r="F1" s="226"/>
      <c r="G1" s="226"/>
    </row>
    <row r="2" spans="1:8" ht="15.75">
      <c r="A2" s="17" t="s">
        <v>109</v>
      </c>
      <c r="B2" s="336">
        <f>Info!D2</f>
        <v>45747</v>
      </c>
      <c r="C2" s="29"/>
      <c r="D2" s="18"/>
      <c r="E2" s="18"/>
      <c r="F2" s="18"/>
      <c r="G2" s="18"/>
      <c r="H2" s="1"/>
    </row>
    <row r="3" spans="1:8" ht="15.75">
      <c r="A3" s="17"/>
      <c r="B3" s="16"/>
      <c r="C3" s="29"/>
      <c r="D3" s="18"/>
      <c r="E3" s="18"/>
      <c r="F3" s="18"/>
      <c r="G3" s="18"/>
      <c r="H3" s="1"/>
    </row>
    <row r="4" spans="1:8">
      <c r="A4" s="821" t="s">
        <v>25</v>
      </c>
      <c r="B4" s="819" t="s">
        <v>166</v>
      </c>
      <c r="C4" s="814" t="s">
        <v>114</v>
      </c>
      <c r="D4" s="814"/>
      <c r="E4" s="814"/>
      <c r="F4" s="814" t="s">
        <v>115</v>
      </c>
      <c r="G4" s="814"/>
      <c r="H4" s="815"/>
    </row>
    <row r="5" spans="1:8" ht="15.6" customHeight="1">
      <c r="A5" s="822"/>
      <c r="B5" s="820"/>
      <c r="C5" s="430" t="s">
        <v>26</v>
      </c>
      <c r="D5" s="430" t="s">
        <v>88</v>
      </c>
      <c r="E5" s="430" t="s">
        <v>66</v>
      </c>
      <c r="F5" s="430" t="s">
        <v>26</v>
      </c>
      <c r="G5" s="430" t="s">
        <v>88</v>
      </c>
      <c r="H5" s="430" t="s">
        <v>66</v>
      </c>
    </row>
    <row r="6" spans="1:8">
      <c r="A6" s="457">
        <v>1</v>
      </c>
      <c r="B6" s="431" t="s">
        <v>776</v>
      </c>
      <c r="C6" s="695">
        <v>1615468.7062770892</v>
      </c>
      <c r="D6" s="695">
        <v>1954223.1220223531</v>
      </c>
      <c r="E6" s="674">
        <f>C6+D6</f>
        <v>3569691.8282994423</v>
      </c>
      <c r="F6" s="695">
        <v>2396957.1801068196</v>
      </c>
      <c r="G6" s="695">
        <v>2002794.195226901</v>
      </c>
      <c r="H6" s="674">
        <f>F6+G6</f>
        <v>4399751.3753337208</v>
      </c>
    </row>
    <row r="7" spans="1:8">
      <c r="A7" s="457">
        <v>1.1000000000000001</v>
      </c>
      <c r="B7" s="432" t="s">
        <v>730</v>
      </c>
      <c r="C7" s="695"/>
      <c r="D7" s="695"/>
      <c r="E7" s="674">
        <f t="shared" ref="E7:E45" si="0">C7+D7</f>
        <v>0</v>
      </c>
      <c r="F7" s="695"/>
      <c r="G7" s="695"/>
      <c r="H7" s="674">
        <f t="shared" ref="H7:H45" si="1">F7+G7</f>
        <v>0</v>
      </c>
    </row>
    <row r="8" spans="1:8" ht="21">
      <c r="A8" s="457">
        <v>1.2</v>
      </c>
      <c r="B8" s="432" t="s">
        <v>777</v>
      </c>
      <c r="C8" s="695">
        <v>0</v>
      </c>
      <c r="D8" s="695"/>
      <c r="E8" s="674">
        <f t="shared" si="0"/>
        <v>0</v>
      </c>
      <c r="F8" s="695">
        <v>0</v>
      </c>
      <c r="G8" s="695"/>
      <c r="H8" s="674">
        <f t="shared" si="1"/>
        <v>0</v>
      </c>
    </row>
    <row r="9" spans="1:8" ht="21.6" customHeight="1">
      <c r="A9" s="457">
        <v>1.3</v>
      </c>
      <c r="B9" s="426" t="s">
        <v>778</v>
      </c>
      <c r="C9" s="695"/>
      <c r="D9" s="695"/>
      <c r="E9" s="674">
        <f t="shared" si="0"/>
        <v>0</v>
      </c>
      <c r="F9" s="695"/>
      <c r="G9" s="695"/>
      <c r="H9" s="674">
        <f t="shared" si="1"/>
        <v>0</v>
      </c>
    </row>
    <row r="10" spans="1:8" ht="21">
      <c r="A10" s="457">
        <v>1.4</v>
      </c>
      <c r="B10" s="426" t="s">
        <v>734</v>
      </c>
      <c r="C10" s="695"/>
      <c r="D10" s="695"/>
      <c r="E10" s="674">
        <f t="shared" si="0"/>
        <v>0</v>
      </c>
      <c r="F10" s="695"/>
      <c r="G10" s="695"/>
      <c r="H10" s="674">
        <f t="shared" si="1"/>
        <v>0</v>
      </c>
    </row>
    <row r="11" spans="1:8">
      <c r="A11" s="457">
        <v>1.5</v>
      </c>
      <c r="B11" s="426" t="s">
        <v>737</v>
      </c>
      <c r="C11" s="695">
        <v>1615468.7062770892</v>
      </c>
      <c r="D11" s="695">
        <v>1954223.1220223531</v>
      </c>
      <c r="E11" s="674">
        <f t="shared" si="0"/>
        <v>3569691.8282994423</v>
      </c>
      <c r="F11" s="695">
        <v>2396957.1801068196</v>
      </c>
      <c r="G11" s="695">
        <v>2002794.195226901</v>
      </c>
      <c r="H11" s="674">
        <f t="shared" si="1"/>
        <v>4399751.3753337208</v>
      </c>
    </row>
    <row r="12" spans="1:8">
      <c r="A12" s="457">
        <v>1.6</v>
      </c>
      <c r="B12" s="433" t="s">
        <v>99</v>
      </c>
      <c r="C12" s="695"/>
      <c r="D12" s="695"/>
      <c r="E12" s="674">
        <f t="shared" si="0"/>
        <v>0</v>
      </c>
      <c r="F12" s="695"/>
      <c r="G12" s="695"/>
      <c r="H12" s="674">
        <f t="shared" si="1"/>
        <v>0</v>
      </c>
    </row>
    <row r="13" spans="1:8">
      <c r="A13" s="457">
        <v>2</v>
      </c>
      <c r="B13" s="434" t="s">
        <v>779</v>
      </c>
      <c r="C13" s="695">
        <v>-242924.87</v>
      </c>
      <c r="D13" s="695">
        <v>-2169288.89</v>
      </c>
      <c r="E13" s="674">
        <f t="shared" si="0"/>
        <v>-2412213.7600000002</v>
      </c>
      <c r="F13" s="695">
        <v>-284395</v>
      </c>
      <c r="G13" s="695">
        <v>-2037828.35</v>
      </c>
      <c r="H13" s="674">
        <f t="shared" si="1"/>
        <v>-2322223.35</v>
      </c>
    </row>
    <row r="14" spans="1:8">
      <c r="A14" s="457">
        <v>2.1</v>
      </c>
      <c r="B14" s="426" t="s">
        <v>780</v>
      </c>
      <c r="C14" s="695"/>
      <c r="D14" s="695"/>
      <c r="E14" s="674">
        <f t="shared" si="0"/>
        <v>0</v>
      </c>
      <c r="F14" s="695"/>
      <c r="G14" s="695"/>
      <c r="H14" s="674">
        <f t="shared" si="1"/>
        <v>0</v>
      </c>
    </row>
    <row r="15" spans="1:8" ht="24.6" customHeight="1">
      <c r="A15" s="457">
        <v>2.2000000000000002</v>
      </c>
      <c r="B15" s="426" t="s">
        <v>781</v>
      </c>
      <c r="C15" s="695"/>
      <c r="D15" s="695"/>
      <c r="E15" s="674">
        <f t="shared" si="0"/>
        <v>0</v>
      </c>
      <c r="F15" s="695"/>
      <c r="G15" s="695"/>
      <c r="H15" s="674">
        <f t="shared" si="1"/>
        <v>0</v>
      </c>
    </row>
    <row r="16" spans="1:8" ht="20.85" customHeight="1">
      <c r="A16" s="457">
        <v>2.2999999999999998</v>
      </c>
      <c r="B16" s="426" t="s">
        <v>782</v>
      </c>
      <c r="C16" s="695">
        <v>-242924.87</v>
      </c>
      <c r="D16" s="695">
        <v>-2169288.89</v>
      </c>
      <c r="E16" s="674">
        <f t="shared" si="0"/>
        <v>-2412213.7600000002</v>
      </c>
      <c r="F16" s="695">
        <v>-284395</v>
      </c>
      <c r="G16" s="695">
        <v>-2037828.35</v>
      </c>
      <c r="H16" s="674">
        <f t="shared" si="1"/>
        <v>-2322223.35</v>
      </c>
    </row>
    <row r="17" spans="1:8">
      <c r="A17" s="457">
        <v>2.4</v>
      </c>
      <c r="B17" s="426" t="s">
        <v>783</v>
      </c>
      <c r="C17" s="695"/>
      <c r="D17" s="695">
        <v>0</v>
      </c>
      <c r="E17" s="674">
        <f t="shared" si="0"/>
        <v>0</v>
      </c>
      <c r="F17" s="695"/>
      <c r="G17" s="695">
        <v>0</v>
      </c>
      <c r="H17" s="674">
        <f t="shared" si="1"/>
        <v>0</v>
      </c>
    </row>
    <row r="18" spans="1:8">
      <c r="A18" s="457">
        <v>3</v>
      </c>
      <c r="B18" s="434" t="s">
        <v>784</v>
      </c>
      <c r="C18" s="695"/>
      <c r="D18" s="695"/>
      <c r="E18" s="674">
        <f t="shared" si="0"/>
        <v>0</v>
      </c>
      <c r="F18" s="695"/>
      <c r="G18" s="695"/>
      <c r="H18" s="674">
        <f t="shared" si="1"/>
        <v>0</v>
      </c>
    </row>
    <row r="19" spans="1:8">
      <c r="A19" s="457">
        <v>4</v>
      </c>
      <c r="B19" s="434" t="s">
        <v>785</v>
      </c>
      <c r="C19" s="695">
        <v>1580.5700000000002</v>
      </c>
      <c r="D19" s="695">
        <v>0</v>
      </c>
      <c r="E19" s="674">
        <f t="shared" si="0"/>
        <v>1580.5700000000002</v>
      </c>
      <c r="F19" s="695">
        <v>15030.990000000002</v>
      </c>
      <c r="G19" s="695"/>
      <c r="H19" s="674">
        <f t="shared" si="1"/>
        <v>15030.990000000002</v>
      </c>
    </row>
    <row r="20" spans="1:8">
      <c r="A20" s="457">
        <v>5</v>
      </c>
      <c r="B20" s="434" t="s">
        <v>786</v>
      </c>
      <c r="C20" s="695">
        <v>-3405.65</v>
      </c>
      <c r="D20" s="695">
        <v>0</v>
      </c>
      <c r="E20" s="674">
        <f t="shared" si="0"/>
        <v>-3405.65</v>
      </c>
      <c r="F20" s="695">
        <v>-3986.16</v>
      </c>
      <c r="G20" s="695"/>
      <c r="H20" s="674">
        <f t="shared" si="1"/>
        <v>-3986.16</v>
      </c>
    </row>
    <row r="21" spans="1:8" ht="38.85" customHeight="1">
      <c r="A21" s="457">
        <v>6</v>
      </c>
      <c r="B21" s="434" t="s">
        <v>787</v>
      </c>
      <c r="C21" s="695">
        <v>3516</v>
      </c>
      <c r="D21" s="695">
        <v>121</v>
      </c>
      <c r="E21" s="674">
        <f t="shared" si="0"/>
        <v>3637</v>
      </c>
      <c r="F21" s="695">
        <v>5030.42</v>
      </c>
      <c r="G21" s="695"/>
      <c r="H21" s="674">
        <f t="shared" si="1"/>
        <v>5030.42</v>
      </c>
    </row>
    <row r="22" spans="1:8" ht="27.6" customHeight="1">
      <c r="A22" s="457">
        <v>7</v>
      </c>
      <c r="B22" s="434" t="s">
        <v>788</v>
      </c>
      <c r="C22" s="695"/>
      <c r="D22" s="695"/>
      <c r="E22" s="674">
        <f t="shared" si="0"/>
        <v>0</v>
      </c>
      <c r="F22" s="695"/>
      <c r="G22" s="695"/>
      <c r="H22" s="674">
        <f t="shared" si="1"/>
        <v>0</v>
      </c>
    </row>
    <row r="23" spans="1:8" ht="37.35" customHeight="1">
      <c r="A23" s="457">
        <v>8</v>
      </c>
      <c r="B23" s="435" t="s">
        <v>789</v>
      </c>
      <c r="C23" s="695"/>
      <c r="D23" s="695"/>
      <c r="E23" s="674">
        <f t="shared" si="0"/>
        <v>0</v>
      </c>
      <c r="F23" s="695"/>
      <c r="G23" s="695"/>
      <c r="H23" s="674">
        <f t="shared" si="1"/>
        <v>0</v>
      </c>
    </row>
    <row r="24" spans="1:8" ht="34.5" customHeight="1">
      <c r="A24" s="457">
        <v>9</v>
      </c>
      <c r="B24" s="435" t="s">
        <v>790</v>
      </c>
      <c r="C24" s="695"/>
      <c r="D24" s="695"/>
      <c r="E24" s="674">
        <f t="shared" si="0"/>
        <v>0</v>
      </c>
      <c r="F24" s="695"/>
      <c r="G24" s="695"/>
      <c r="H24" s="674">
        <f t="shared" si="1"/>
        <v>0</v>
      </c>
    </row>
    <row r="25" spans="1:8">
      <c r="A25" s="457">
        <v>10</v>
      </c>
      <c r="B25" s="434" t="s">
        <v>791</v>
      </c>
      <c r="C25" s="695">
        <v>-29339690.626001019</v>
      </c>
      <c r="D25" s="695">
        <v>0</v>
      </c>
      <c r="E25" s="674">
        <f t="shared" si="0"/>
        <v>-29339690.626001019</v>
      </c>
      <c r="F25" s="695">
        <v>1761483.53985071</v>
      </c>
      <c r="G25" s="695"/>
      <c r="H25" s="674">
        <f t="shared" si="1"/>
        <v>1761483.53985071</v>
      </c>
    </row>
    <row r="26" spans="1:8" ht="27" customHeight="1">
      <c r="A26" s="457">
        <v>11</v>
      </c>
      <c r="B26" s="436" t="s">
        <v>792</v>
      </c>
      <c r="C26" s="695">
        <v>0</v>
      </c>
      <c r="D26" s="695">
        <v>0</v>
      </c>
      <c r="E26" s="674">
        <f t="shared" si="0"/>
        <v>0</v>
      </c>
      <c r="F26" s="695">
        <v>2137.58</v>
      </c>
      <c r="G26" s="695"/>
      <c r="H26" s="674">
        <f t="shared" si="1"/>
        <v>2137.58</v>
      </c>
    </row>
    <row r="27" spans="1:8">
      <c r="A27" s="457">
        <v>12</v>
      </c>
      <c r="B27" s="434" t="s">
        <v>793</v>
      </c>
      <c r="C27" s="695">
        <v>0</v>
      </c>
      <c r="D27" s="695">
        <v>0</v>
      </c>
      <c r="E27" s="674">
        <f t="shared" si="0"/>
        <v>0</v>
      </c>
      <c r="F27" s="695">
        <v>5</v>
      </c>
      <c r="G27" s="695"/>
      <c r="H27" s="674">
        <f t="shared" si="1"/>
        <v>5</v>
      </c>
    </row>
    <row r="28" spans="1:8">
      <c r="A28" s="457">
        <v>13</v>
      </c>
      <c r="B28" s="437" t="s">
        <v>794</v>
      </c>
      <c r="C28" s="695">
        <v>-767554.34999999986</v>
      </c>
      <c r="D28" s="695">
        <v>-19896</v>
      </c>
      <c r="E28" s="674">
        <f t="shared" si="0"/>
        <v>-787450.34999999986</v>
      </c>
      <c r="F28" s="695">
        <v>-976292.96999999986</v>
      </c>
      <c r="G28" s="695"/>
      <c r="H28" s="674">
        <f t="shared" si="1"/>
        <v>-976292.96999999986</v>
      </c>
    </row>
    <row r="29" spans="1:8">
      <c r="A29" s="457">
        <v>14</v>
      </c>
      <c r="B29" s="438" t="s">
        <v>795</v>
      </c>
      <c r="C29" s="695">
        <v>-1864079</v>
      </c>
      <c r="D29" s="695">
        <v>0</v>
      </c>
      <c r="E29" s="674">
        <f t="shared" si="0"/>
        <v>-1864079</v>
      </c>
      <c r="F29" s="695">
        <v>-1849188</v>
      </c>
      <c r="G29" s="695">
        <v>0</v>
      </c>
      <c r="H29" s="674">
        <f t="shared" si="1"/>
        <v>-1849188</v>
      </c>
    </row>
    <row r="30" spans="1:8">
      <c r="A30" s="457">
        <v>14.1</v>
      </c>
      <c r="B30" s="411" t="s">
        <v>796</v>
      </c>
      <c r="C30" s="695">
        <v>-1864079</v>
      </c>
      <c r="D30" s="695">
        <v>0</v>
      </c>
      <c r="E30" s="674">
        <f t="shared" si="0"/>
        <v>-1864079</v>
      </c>
      <c r="F30" s="695">
        <v>-1849188</v>
      </c>
      <c r="G30" s="695"/>
      <c r="H30" s="674">
        <f t="shared" si="1"/>
        <v>-1849188</v>
      </c>
    </row>
    <row r="31" spans="1:8">
      <c r="A31" s="457">
        <v>14.2</v>
      </c>
      <c r="B31" s="411" t="s">
        <v>797</v>
      </c>
      <c r="C31" s="695">
        <v>0</v>
      </c>
      <c r="D31" s="695"/>
      <c r="E31" s="674">
        <f t="shared" si="0"/>
        <v>0</v>
      </c>
      <c r="F31" s="695">
        <v>0</v>
      </c>
      <c r="G31" s="695"/>
      <c r="H31" s="674">
        <f t="shared" si="1"/>
        <v>0</v>
      </c>
    </row>
    <row r="32" spans="1:8">
      <c r="A32" s="457">
        <v>15</v>
      </c>
      <c r="B32" s="439" t="s">
        <v>798</v>
      </c>
      <c r="C32" s="695">
        <v>-355796</v>
      </c>
      <c r="D32" s="695">
        <v>0</v>
      </c>
      <c r="E32" s="674">
        <f t="shared" si="0"/>
        <v>-355796</v>
      </c>
      <c r="F32" s="695">
        <v>-342825</v>
      </c>
      <c r="G32" s="695"/>
      <c r="H32" s="674">
        <f t="shared" si="1"/>
        <v>-342825</v>
      </c>
    </row>
    <row r="33" spans="1:8" ht="22.5" customHeight="1">
      <c r="A33" s="457">
        <v>16</v>
      </c>
      <c r="B33" s="407" t="s">
        <v>799</v>
      </c>
      <c r="C33" s="695">
        <v>0</v>
      </c>
      <c r="D33" s="695">
        <v>0</v>
      </c>
      <c r="E33" s="674">
        <f t="shared" si="0"/>
        <v>0</v>
      </c>
      <c r="F33" s="695"/>
      <c r="G33" s="695"/>
      <c r="H33" s="674">
        <f t="shared" si="1"/>
        <v>0</v>
      </c>
    </row>
    <row r="34" spans="1:8">
      <c r="A34" s="457">
        <v>17</v>
      </c>
      <c r="B34" s="434" t="s">
        <v>800</v>
      </c>
      <c r="C34" s="695">
        <v>0</v>
      </c>
      <c r="D34" s="695">
        <v>0</v>
      </c>
      <c r="E34" s="674">
        <f t="shared" si="0"/>
        <v>0</v>
      </c>
      <c r="F34" s="695">
        <v>13881.834160087001</v>
      </c>
      <c r="G34" s="695">
        <v>0</v>
      </c>
      <c r="H34" s="674">
        <f t="shared" si="1"/>
        <v>13881.834160087001</v>
      </c>
    </row>
    <row r="35" spans="1:8">
      <c r="A35" s="457">
        <v>17.100000000000001</v>
      </c>
      <c r="B35" s="440" t="s">
        <v>801</v>
      </c>
      <c r="C35" s="695">
        <v>0</v>
      </c>
      <c r="D35" s="695"/>
      <c r="E35" s="674">
        <f t="shared" si="0"/>
        <v>0</v>
      </c>
      <c r="F35" s="695">
        <v>0</v>
      </c>
      <c r="G35" s="695"/>
      <c r="H35" s="674">
        <f t="shared" si="1"/>
        <v>0</v>
      </c>
    </row>
    <row r="36" spans="1:8">
      <c r="A36" s="457">
        <v>17.2</v>
      </c>
      <c r="B36" s="411" t="s">
        <v>802</v>
      </c>
      <c r="C36" s="695"/>
      <c r="D36" s="695">
        <v>0</v>
      </c>
      <c r="E36" s="674">
        <f t="shared" si="0"/>
        <v>0</v>
      </c>
      <c r="F36" s="695">
        <v>13881.834160087001</v>
      </c>
      <c r="G36" s="695"/>
      <c r="H36" s="674">
        <f t="shared" si="1"/>
        <v>13881.834160087001</v>
      </c>
    </row>
    <row r="37" spans="1:8" ht="41.85" customHeight="1">
      <c r="A37" s="457">
        <v>18</v>
      </c>
      <c r="B37" s="441" t="s">
        <v>803</v>
      </c>
      <c r="C37" s="695">
        <v>-2326764.7721901075</v>
      </c>
      <c r="D37" s="695">
        <v>0</v>
      </c>
      <c r="E37" s="674">
        <f t="shared" si="0"/>
        <v>-2326764.7721901075</v>
      </c>
      <c r="F37" s="695">
        <v>-282979.56173924298</v>
      </c>
      <c r="G37" s="695">
        <v>0</v>
      </c>
      <c r="H37" s="674">
        <f t="shared" si="1"/>
        <v>-282979.56173924298</v>
      </c>
    </row>
    <row r="38" spans="1:8" ht="21">
      <c r="A38" s="457">
        <v>18.100000000000001</v>
      </c>
      <c r="B38" s="426" t="s">
        <v>804</v>
      </c>
      <c r="C38" s="695"/>
      <c r="D38" s="695"/>
      <c r="E38" s="674">
        <f t="shared" si="0"/>
        <v>0</v>
      </c>
      <c r="F38" s="695"/>
      <c r="G38" s="695"/>
      <c r="H38" s="674">
        <f t="shared" si="1"/>
        <v>0</v>
      </c>
    </row>
    <row r="39" spans="1:8">
      <c r="A39" s="457">
        <v>18.2</v>
      </c>
      <c r="B39" s="426" t="s">
        <v>805</v>
      </c>
      <c r="C39" s="695">
        <v>-2326764.7721901075</v>
      </c>
      <c r="D39" s="695">
        <v>0</v>
      </c>
      <c r="E39" s="674">
        <f t="shared" si="0"/>
        <v>-2326764.7721901075</v>
      </c>
      <c r="F39" s="695">
        <v>-282979.56173924298</v>
      </c>
      <c r="G39" s="695"/>
      <c r="H39" s="674">
        <f t="shared" si="1"/>
        <v>-282979.56173924298</v>
      </c>
    </row>
    <row r="40" spans="1:8" ht="24.6" customHeight="1">
      <c r="A40" s="457">
        <v>19</v>
      </c>
      <c r="B40" s="441" t="s">
        <v>806</v>
      </c>
      <c r="C40" s="695"/>
      <c r="D40" s="695"/>
      <c r="E40" s="674">
        <f t="shared" si="0"/>
        <v>0</v>
      </c>
      <c r="F40" s="695"/>
      <c r="G40" s="695"/>
      <c r="H40" s="674">
        <f t="shared" si="1"/>
        <v>0</v>
      </c>
    </row>
    <row r="41" spans="1:8" ht="25.35" customHeight="1">
      <c r="A41" s="457">
        <v>20</v>
      </c>
      <c r="B41" s="441" t="s">
        <v>807</v>
      </c>
      <c r="C41" s="695"/>
      <c r="D41" s="695"/>
      <c r="E41" s="674">
        <f t="shared" si="0"/>
        <v>0</v>
      </c>
      <c r="F41" s="695"/>
      <c r="G41" s="695"/>
      <c r="H41" s="674">
        <f t="shared" si="1"/>
        <v>0</v>
      </c>
    </row>
    <row r="42" spans="1:8" ht="33" customHeight="1">
      <c r="A42" s="457">
        <v>21</v>
      </c>
      <c r="B42" s="442" t="s">
        <v>808</v>
      </c>
      <c r="C42" s="695"/>
      <c r="D42" s="695"/>
      <c r="E42" s="674">
        <f t="shared" si="0"/>
        <v>0</v>
      </c>
      <c r="F42" s="695"/>
      <c r="G42" s="695"/>
      <c r="H42" s="674">
        <f t="shared" si="1"/>
        <v>0</v>
      </c>
    </row>
    <row r="43" spans="1:8">
      <c r="A43" s="457">
        <v>22</v>
      </c>
      <c r="B43" s="443" t="s">
        <v>809</v>
      </c>
      <c r="C43" s="695">
        <v>-33279649.991914041</v>
      </c>
      <c r="D43" s="695">
        <v>-234840.76797764702</v>
      </c>
      <c r="E43" s="674">
        <f t="shared" si="0"/>
        <v>-33514490.759891689</v>
      </c>
      <c r="F43" s="695">
        <v>454859.85237837397</v>
      </c>
      <c r="G43" s="695">
        <v>-35034.154773099115</v>
      </c>
      <c r="H43" s="674">
        <f t="shared" si="1"/>
        <v>419825.69760527485</v>
      </c>
    </row>
    <row r="44" spans="1:8">
      <c r="A44" s="457">
        <v>23</v>
      </c>
      <c r="B44" s="443" t="s">
        <v>810</v>
      </c>
      <c r="C44" s="695">
        <v>33844</v>
      </c>
      <c r="D44" s="695">
        <v>0</v>
      </c>
      <c r="E44" s="674">
        <f t="shared" si="0"/>
        <v>33844</v>
      </c>
      <c r="F44" s="695">
        <v>-43779</v>
      </c>
      <c r="G44" s="695"/>
      <c r="H44" s="674">
        <f t="shared" si="1"/>
        <v>-43779</v>
      </c>
    </row>
    <row r="45" spans="1:8">
      <c r="A45" s="457">
        <v>24</v>
      </c>
      <c r="B45" s="443" t="s">
        <v>811</v>
      </c>
      <c r="C45" s="695">
        <v>-33313493.991914041</v>
      </c>
      <c r="D45" s="695">
        <v>-234840.76797764702</v>
      </c>
      <c r="E45" s="674">
        <f t="shared" si="0"/>
        <v>-33548334.759891689</v>
      </c>
      <c r="F45" s="695">
        <v>498638.85237837397</v>
      </c>
      <c r="G45" s="695">
        <v>-35034.154773099115</v>
      </c>
      <c r="H45" s="674">
        <f t="shared" si="1"/>
        <v>463604.69760527485</v>
      </c>
    </row>
    <row r="46" spans="1:8">
      <c r="C46" s="785"/>
      <c r="D46" s="785"/>
      <c r="E46" s="785"/>
      <c r="F46" s="785"/>
      <c r="G46" s="785"/>
      <c r="H46" s="785"/>
    </row>
    <row r="47" spans="1:8">
      <c r="C47" s="785"/>
      <c r="D47" s="785"/>
      <c r="E47" s="785"/>
      <c r="F47" s="785"/>
      <c r="G47" s="785"/>
      <c r="H47" s="785"/>
    </row>
    <row r="48" spans="1:8">
      <c r="C48" s="785"/>
      <c r="D48" s="785"/>
      <c r="E48" s="785"/>
      <c r="F48" s="785"/>
      <c r="G48" s="785"/>
      <c r="H48" s="785"/>
    </row>
    <row r="49" spans="3:8">
      <c r="C49" s="785"/>
      <c r="D49" s="785"/>
      <c r="E49" s="785"/>
      <c r="F49" s="785"/>
      <c r="G49" s="785"/>
      <c r="H49" s="785"/>
    </row>
    <row r="50" spans="3:8">
      <c r="C50" s="785"/>
      <c r="D50" s="785"/>
      <c r="E50" s="785"/>
      <c r="F50" s="785"/>
      <c r="G50" s="785"/>
      <c r="H50" s="785"/>
    </row>
    <row r="51" spans="3:8">
      <c r="C51" s="785"/>
      <c r="D51" s="785"/>
      <c r="E51" s="785"/>
      <c r="F51" s="785"/>
      <c r="G51" s="785"/>
      <c r="H51" s="785"/>
    </row>
    <row r="52" spans="3:8">
      <c r="C52" s="785"/>
      <c r="D52" s="785"/>
      <c r="E52" s="785"/>
      <c r="F52" s="785"/>
      <c r="G52" s="785"/>
      <c r="H52" s="785"/>
    </row>
    <row r="53" spans="3:8">
      <c r="C53" s="785"/>
      <c r="D53" s="785"/>
      <c r="E53" s="785"/>
      <c r="F53" s="785"/>
      <c r="G53" s="785"/>
      <c r="H53" s="785"/>
    </row>
    <row r="54" spans="3:8">
      <c r="C54" s="785"/>
      <c r="D54" s="785"/>
      <c r="E54" s="785"/>
      <c r="F54" s="785"/>
      <c r="G54" s="785"/>
      <c r="H54" s="785"/>
    </row>
    <row r="55" spans="3:8">
      <c r="C55" s="785"/>
      <c r="D55" s="785"/>
      <c r="E55" s="785"/>
      <c r="F55" s="785"/>
      <c r="G55" s="785"/>
      <c r="H55" s="785"/>
    </row>
    <row r="56" spans="3:8">
      <c r="C56" s="785"/>
      <c r="D56" s="785"/>
      <c r="E56" s="785"/>
      <c r="F56" s="785"/>
      <c r="G56" s="785"/>
      <c r="H56" s="785"/>
    </row>
    <row r="57" spans="3:8">
      <c r="C57" s="785"/>
      <c r="D57" s="785"/>
      <c r="E57" s="785"/>
      <c r="F57" s="785"/>
      <c r="G57" s="785"/>
      <c r="H57" s="785"/>
    </row>
    <row r="58" spans="3:8">
      <c r="C58" s="785"/>
      <c r="D58" s="785"/>
      <c r="E58" s="785"/>
      <c r="F58" s="785"/>
      <c r="G58" s="785"/>
      <c r="H58" s="785"/>
    </row>
    <row r="59" spans="3:8">
      <c r="C59" s="785"/>
      <c r="D59" s="785"/>
      <c r="E59" s="785"/>
      <c r="F59" s="785"/>
      <c r="G59" s="785"/>
      <c r="H59" s="785"/>
    </row>
    <row r="60" spans="3:8">
      <c r="C60" s="785"/>
      <c r="D60" s="785"/>
      <c r="E60" s="785"/>
      <c r="F60" s="785"/>
      <c r="G60" s="785"/>
      <c r="H60" s="785"/>
    </row>
    <row r="61" spans="3:8">
      <c r="C61" s="785"/>
      <c r="D61" s="785"/>
      <c r="E61" s="785"/>
      <c r="F61" s="785"/>
      <c r="G61" s="785"/>
      <c r="H61" s="785"/>
    </row>
    <row r="62" spans="3:8">
      <c r="C62" s="785"/>
      <c r="D62" s="785"/>
      <c r="E62" s="785"/>
      <c r="F62" s="785"/>
      <c r="G62" s="785"/>
      <c r="H62" s="785"/>
    </row>
    <row r="63" spans="3:8">
      <c r="C63" s="785"/>
      <c r="D63" s="785"/>
      <c r="E63" s="785"/>
      <c r="F63" s="785"/>
      <c r="G63" s="785"/>
      <c r="H63" s="785"/>
    </row>
    <row r="64" spans="3:8">
      <c r="C64" s="785"/>
      <c r="D64" s="785"/>
      <c r="E64" s="785"/>
      <c r="F64" s="785"/>
      <c r="G64" s="785"/>
      <c r="H64" s="785"/>
    </row>
    <row r="65" spans="3:8">
      <c r="C65" s="785"/>
      <c r="D65" s="785"/>
      <c r="E65" s="785"/>
      <c r="F65" s="785"/>
      <c r="G65" s="785"/>
      <c r="H65" s="785"/>
    </row>
    <row r="66" spans="3:8">
      <c r="C66" s="785"/>
      <c r="D66" s="785"/>
      <c r="E66" s="785"/>
      <c r="F66" s="785"/>
      <c r="G66" s="785"/>
      <c r="H66" s="785"/>
    </row>
    <row r="67" spans="3:8">
      <c r="C67" s="785"/>
      <c r="D67" s="785"/>
      <c r="E67" s="785"/>
      <c r="F67" s="785"/>
      <c r="G67" s="785"/>
      <c r="H67" s="785"/>
    </row>
    <row r="68" spans="3:8">
      <c r="C68" s="785"/>
      <c r="D68" s="785"/>
      <c r="E68" s="785"/>
      <c r="F68" s="785"/>
      <c r="G68" s="785"/>
      <c r="H68" s="785"/>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7"/>
  <sheetViews>
    <sheetView topLeftCell="A11" zoomScale="80" zoomScaleNormal="80" workbookViewId="0">
      <selection activeCell="C40" sqref="C40"/>
    </sheetView>
  </sheetViews>
  <sheetFormatPr defaultRowHeight="15"/>
  <cols>
    <col min="1" max="1" width="8.7109375" style="454"/>
    <col min="2" max="2" width="87.7109375" bestFit="1" customWidth="1"/>
    <col min="3" max="3" width="12.7109375" customWidth="1"/>
    <col min="4" max="4" width="14.28515625" bestFit="1" customWidth="1"/>
    <col min="5" max="5" width="14" bestFit="1" customWidth="1"/>
    <col min="6" max="6" width="12.7109375" customWidth="1"/>
    <col min="7" max="7" width="14" bestFit="1" customWidth="1"/>
    <col min="8" max="8" width="13.7109375" bestFit="1" customWidth="1"/>
  </cols>
  <sheetData>
    <row r="1" spans="1:8" ht="15.75">
      <c r="A1" s="17" t="s">
        <v>108</v>
      </c>
      <c r="B1" s="305" t="str">
        <f>Info!C2</f>
        <v>JSC "VTB Bank (Georgia)"</v>
      </c>
      <c r="C1" s="16"/>
      <c r="D1" s="226"/>
      <c r="E1" s="226"/>
      <c r="F1" s="226"/>
      <c r="G1" s="226"/>
    </row>
    <row r="2" spans="1:8" ht="15.75">
      <c r="A2" s="17" t="s">
        <v>109</v>
      </c>
      <c r="B2" s="336">
        <f>Info!D2</f>
        <v>45747</v>
      </c>
      <c r="C2" s="29"/>
      <c r="D2" s="18"/>
      <c r="E2" s="18"/>
      <c r="F2" s="18"/>
      <c r="G2" s="18"/>
      <c r="H2" s="1"/>
    </row>
    <row r="3" spans="1:8" ht="16.5" thickBot="1">
      <c r="A3" s="17"/>
      <c r="B3" s="16"/>
      <c r="C3" s="29"/>
      <c r="D3" s="18"/>
      <c r="E3" s="18"/>
      <c r="F3" s="18"/>
      <c r="G3" s="18"/>
      <c r="H3" s="1"/>
    </row>
    <row r="4" spans="1:8" ht="15.75">
      <c r="A4" s="811" t="s">
        <v>25</v>
      </c>
      <c r="B4" s="823" t="s">
        <v>151</v>
      </c>
      <c r="C4" s="824" t="s">
        <v>114</v>
      </c>
      <c r="D4" s="824"/>
      <c r="E4" s="824"/>
      <c r="F4" s="824" t="s">
        <v>115</v>
      </c>
      <c r="G4" s="824"/>
      <c r="H4" s="825"/>
    </row>
    <row r="5" spans="1:8">
      <c r="A5" s="811"/>
      <c r="B5" s="823"/>
      <c r="C5" s="430" t="s">
        <v>26</v>
      </c>
      <c r="D5" s="430" t="s">
        <v>88</v>
      </c>
      <c r="E5" s="430" t="s">
        <v>66</v>
      </c>
      <c r="F5" s="430" t="s">
        <v>26</v>
      </c>
      <c r="G5" s="430" t="s">
        <v>88</v>
      </c>
      <c r="H5" s="444" t="s">
        <v>66</v>
      </c>
    </row>
    <row r="6" spans="1:8" ht="15.75">
      <c r="A6" s="445">
        <v>1</v>
      </c>
      <c r="B6" s="446" t="s">
        <v>812</v>
      </c>
      <c r="C6" s="721"/>
      <c r="D6" s="721"/>
      <c r="E6" s="722">
        <f t="shared" ref="E6:E43" si="0">C6+D6</f>
        <v>0</v>
      </c>
      <c r="F6" s="721"/>
      <c r="G6" s="721"/>
      <c r="H6" s="723">
        <f t="shared" ref="H6:H43" si="1">F6+G6</f>
        <v>0</v>
      </c>
    </row>
    <row r="7" spans="1:8" ht="28.35" customHeight="1">
      <c r="A7" s="445">
        <v>2</v>
      </c>
      <c r="B7" s="446" t="s">
        <v>177</v>
      </c>
      <c r="C7" s="721"/>
      <c r="D7" s="721"/>
      <c r="E7" s="722">
        <f t="shared" si="0"/>
        <v>0</v>
      </c>
      <c r="F7" s="721"/>
      <c r="G7" s="721"/>
      <c r="H7" s="723">
        <f t="shared" si="1"/>
        <v>0</v>
      </c>
    </row>
    <row r="8" spans="1:8" ht="15.75">
      <c r="A8" s="445">
        <v>3</v>
      </c>
      <c r="B8" s="446" t="s">
        <v>179</v>
      </c>
      <c r="C8" s="721">
        <v>31338203</v>
      </c>
      <c r="D8" s="721">
        <v>3243676686</v>
      </c>
      <c r="E8" s="722">
        <f t="shared" si="0"/>
        <v>3275014889</v>
      </c>
      <c r="F8" s="721">
        <v>57892348.840000004</v>
      </c>
      <c r="G8" s="721">
        <v>3366820350.3899999</v>
      </c>
      <c r="H8" s="723">
        <f t="shared" si="1"/>
        <v>3424712699.23</v>
      </c>
    </row>
    <row r="9" spans="1:8" ht="15.75">
      <c r="A9" s="445">
        <v>3.1</v>
      </c>
      <c r="B9" s="447" t="s">
        <v>813</v>
      </c>
      <c r="C9" s="721">
        <v>31338203</v>
      </c>
      <c r="D9" s="721">
        <v>3219362510.9032998</v>
      </c>
      <c r="E9" s="722">
        <f t="shared" si="0"/>
        <v>3250700713.9032998</v>
      </c>
      <c r="F9" s="721">
        <v>57892348.840000004</v>
      </c>
      <c r="G9" s="721">
        <v>3242098172.9549999</v>
      </c>
      <c r="H9" s="723">
        <f t="shared" si="1"/>
        <v>3299990521.7950001</v>
      </c>
    </row>
    <row r="10" spans="1:8" ht="15.75">
      <c r="A10" s="445">
        <v>3.2</v>
      </c>
      <c r="B10" s="447" t="s">
        <v>814</v>
      </c>
      <c r="C10" s="721">
        <v>0</v>
      </c>
      <c r="D10" s="721">
        <v>24314175.096700002</v>
      </c>
      <c r="E10" s="722">
        <f t="shared" si="0"/>
        <v>24314175.096700002</v>
      </c>
      <c r="F10" s="721">
        <v>0</v>
      </c>
      <c r="G10" s="721">
        <v>124722177.435</v>
      </c>
      <c r="H10" s="723">
        <f t="shared" si="1"/>
        <v>124722177.435</v>
      </c>
    </row>
    <row r="11" spans="1:8" ht="25.5">
      <c r="A11" s="445">
        <v>4</v>
      </c>
      <c r="B11" s="446" t="s">
        <v>178</v>
      </c>
      <c r="C11" s="721">
        <v>0</v>
      </c>
      <c r="D11" s="721">
        <v>0</v>
      </c>
      <c r="E11" s="722">
        <f t="shared" si="0"/>
        <v>0</v>
      </c>
      <c r="F11" s="721">
        <v>0</v>
      </c>
      <c r="G11" s="721">
        <v>0</v>
      </c>
      <c r="H11" s="723">
        <f t="shared" si="1"/>
        <v>0</v>
      </c>
    </row>
    <row r="12" spans="1:8" ht="15.75">
      <c r="A12" s="445">
        <v>4.0999999999999996</v>
      </c>
      <c r="B12" s="447" t="s">
        <v>815</v>
      </c>
      <c r="C12" s="721"/>
      <c r="D12" s="721"/>
      <c r="E12" s="722">
        <f t="shared" si="0"/>
        <v>0</v>
      </c>
      <c r="F12" s="721"/>
      <c r="G12" s="721"/>
      <c r="H12" s="723">
        <f t="shared" si="1"/>
        <v>0</v>
      </c>
    </row>
    <row r="13" spans="1:8" ht="15.75">
      <c r="A13" s="445">
        <v>4.2</v>
      </c>
      <c r="B13" s="447" t="s">
        <v>816</v>
      </c>
      <c r="C13" s="721"/>
      <c r="D13" s="721"/>
      <c r="E13" s="722">
        <f t="shared" si="0"/>
        <v>0</v>
      </c>
      <c r="F13" s="721"/>
      <c r="G13" s="721"/>
      <c r="H13" s="723">
        <f t="shared" si="1"/>
        <v>0</v>
      </c>
    </row>
    <row r="14" spans="1:8" ht="15.75">
      <c r="A14" s="445">
        <v>5</v>
      </c>
      <c r="B14" s="448" t="s">
        <v>817</v>
      </c>
      <c r="C14" s="721">
        <v>24287780</v>
      </c>
      <c r="D14" s="721">
        <v>598193576.39549994</v>
      </c>
      <c r="E14" s="722">
        <f t="shared" si="0"/>
        <v>622481356.39549994</v>
      </c>
      <c r="F14" s="721">
        <v>26307780</v>
      </c>
      <c r="G14" s="721">
        <v>627354062.12150002</v>
      </c>
      <c r="H14" s="723">
        <f t="shared" si="1"/>
        <v>653661842.12150002</v>
      </c>
    </row>
    <row r="15" spans="1:8" ht="15.75">
      <c r="A15" s="445">
        <v>5.0999999999999996</v>
      </c>
      <c r="B15" s="449" t="s">
        <v>818</v>
      </c>
      <c r="C15" s="721">
        <v>230000</v>
      </c>
      <c r="D15" s="721">
        <v>293090.27759999997</v>
      </c>
      <c r="E15" s="722">
        <f t="shared" si="0"/>
        <v>523090.27759999997</v>
      </c>
      <c r="F15" s="721">
        <v>2250000</v>
      </c>
      <c r="G15" s="721">
        <v>610460.51850000001</v>
      </c>
      <c r="H15" s="723">
        <f t="shared" si="1"/>
        <v>2860460.5185000002</v>
      </c>
    </row>
    <row r="16" spans="1:8" ht="15.75">
      <c r="A16" s="445">
        <v>5.2</v>
      </c>
      <c r="B16" s="449" t="s">
        <v>819</v>
      </c>
      <c r="C16" s="721">
        <v>0</v>
      </c>
      <c r="D16" s="721">
        <v>74018.439799999993</v>
      </c>
      <c r="E16" s="722">
        <f t="shared" si="0"/>
        <v>74018.439799999993</v>
      </c>
      <c r="F16" s="721">
        <v>0</v>
      </c>
      <c r="G16" s="721">
        <v>72092.617599999998</v>
      </c>
      <c r="H16" s="723">
        <f t="shared" si="1"/>
        <v>72092.617599999998</v>
      </c>
    </row>
    <row r="17" spans="1:8" ht="15.75">
      <c r="A17" s="445">
        <v>5.3</v>
      </c>
      <c r="B17" s="449" t="s">
        <v>820</v>
      </c>
      <c r="C17" s="721">
        <v>23225400</v>
      </c>
      <c r="D17" s="721">
        <v>403472049.43349999</v>
      </c>
      <c r="E17" s="722">
        <f t="shared" si="0"/>
        <v>426697449.43349999</v>
      </c>
      <c r="F17" s="721">
        <v>23225400</v>
      </c>
      <c r="G17" s="721">
        <v>407968650.77520001</v>
      </c>
      <c r="H17" s="723">
        <f t="shared" si="1"/>
        <v>431194050.77520001</v>
      </c>
    </row>
    <row r="18" spans="1:8" ht="15.75">
      <c r="A18" s="445" t="s">
        <v>180</v>
      </c>
      <c r="B18" s="450" t="s">
        <v>821</v>
      </c>
      <c r="C18" s="721">
        <v>138000</v>
      </c>
      <c r="D18" s="721">
        <v>33932632.600000001</v>
      </c>
      <c r="E18" s="722">
        <f t="shared" si="0"/>
        <v>34070632.600000001</v>
      </c>
      <c r="F18" s="721">
        <v>138000</v>
      </c>
      <c r="G18" s="721">
        <v>34026814.850000001</v>
      </c>
      <c r="H18" s="723">
        <f t="shared" si="1"/>
        <v>34164814.850000001</v>
      </c>
    </row>
    <row r="19" spans="1:8" ht="15.75">
      <c r="A19" s="445" t="s">
        <v>181</v>
      </c>
      <c r="B19" s="451" t="s">
        <v>822</v>
      </c>
      <c r="C19" s="721">
        <v>23074400</v>
      </c>
      <c r="D19" s="721">
        <v>269144686.80040002</v>
      </c>
      <c r="E19" s="722">
        <f t="shared" si="0"/>
        <v>292219086.80040002</v>
      </c>
      <c r="F19" s="721">
        <v>23074400</v>
      </c>
      <c r="G19" s="721">
        <v>270788974.63</v>
      </c>
      <c r="H19" s="723">
        <f t="shared" si="1"/>
        <v>293863374.63</v>
      </c>
    </row>
    <row r="20" spans="1:8" ht="15.75">
      <c r="A20" s="445" t="s">
        <v>182</v>
      </c>
      <c r="B20" s="451" t="s">
        <v>823</v>
      </c>
      <c r="C20" s="721">
        <v>0</v>
      </c>
      <c r="D20" s="721">
        <v>18286318.399999999</v>
      </c>
      <c r="E20" s="722">
        <f t="shared" si="0"/>
        <v>18286318.399999999</v>
      </c>
      <c r="F20" s="721">
        <v>0</v>
      </c>
      <c r="G20" s="721">
        <v>17810542.399999999</v>
      </c>
      <c r="H20" s="723">
        <f t="shared" si="1"/>
        <v>17810542.399999999</v>
      </c>
    </row>
    <row r="21" spans="1:8" ht="15.75">
      <c r="A21" s="445" t="s">
        <v>183</v>
      </c>
      <c r="B21" s="451" t="s">
        <v>824</v>
      </c>
      <c r="C21" s="721">
        <v>13000</v>
      </c>
      <c r="D21" s="721">
        <v>39617898.248499997</v>
      </c>
      <c r="E21" s="722">
        <f t="shared" si="0"/>
        <v>39630898.248499997</v>
      </c>
      <c r="F21" s="721">
        <v>13000</v>
      </c>
      <c r="G21" s="721">
        <v>43957329.654600002</v>
      </c>
      <c r="H21" s="723">
        <f t="shared" si="1"/>
        <v>43970329.654600002</v>
      </c>
    </row>
    <row r="22" spans="1:8" ht="15.75">
      <c r="A22" s="445" t="s">
        <v>184</v>
      </c>
      <c r="B22" s="451" t="s">
        <v>541</v>
      </c>
      <c r="C22" s="721">
        <v>0</v>
      </c>
      <c r="D22" s="721">
        <v>42490513.384599999</v>
      </c>
      <c r="E22" s="722">
        <f t="shared" si="0"/>
        <v>42490513.384599999</v>
      </c>
      <c r="F22" s="721">
        <v>0</v>
      </c>
      <c r="G22" s="721">
        <v>41384989.240599997</v>
      </c>
      <c r="H22" s="723">
        <f t="shared" si="1"/>
        <v>41384989.240599997</v>
      </c>
    </row>
    <row r="23" spans="1:8" ht="15.75">
      <c r="A23" s="445">
        <v>5.4</v>
      </c>
      <c r="B23" s="449" t="s">
        <v>825</v>
      </c>
      <c r="C23" s="721">
        <v>804767</v>
      </c>
      <c r="D23" s="721">
        <v>130863215.33409999</v>
      </c>
      <c r="E23" s="722">
        <f t="shared" si="0"/>
        <v>131667982.33409999</v>
      </c>
      <c r="F23" s="721">
        <v>804767</v>
      </c>
      <c r="G23" s="721">
        <v>156863578.33289999</v>
      </c>
      <c r="H23" s="723">
        <f t="shared" si="1"/>
        <v>157668345.33289999</v>
      </c>
    </row>
    <row r="24" spans="1:8" ht="15.75">
      <c r="A24" s="445">
        <v>5.5</v>
      </c>
      <c r="B24" s="449" t="s">
        <v>826</v>
      </c>
      <c r="C24" s="721">
        <v>5</v>
      </c>
      <c r="D24" s="721">
        <v>55346002.767300002</v>
      </c>
      <c r="E24" s="722">
        <f t="shared" si="0"/>
        <v>55346007.767300002</v>
      </c>
      <c r="F24" s="721">
        <v>5</v>
      </c>
      <c r="G24" s="721">
        <v>53906002.695299998</v>
      </c>
      <c r="H24" s="723">
        <f t="shared" si="1"/>
        <v>53906007.695299998</v>
      </c>
    </row>
    <row r="25" spans="1:8" ht="15.75">
      <c r="A25" s="445">
        <v>5.6</v>
      </c>
      <c r="B25" s="449" t="s">
        <v>827</v>
      </c>
      <c r="C25" s="721">
        <v>0</v>
      </c>
      <c r="D25" s="721">
        <v>7748440</v>
      </c>
      <c r="E25" s="722">
        <f t="shared" si="0"/>
        <v>7748440</v>
      </c>
      <c r="F25" s="721">
        <v>0</v>
      </c>
      <c r="G25" s="721">
        <v>7546840</v>
      </c>
      <c r="H25" s="723">
        <f t="shared" si="1"/>
        <v>7546840</v>
      </c>
    </row>
    <row r="26" spans="1:8" ht="15.75">
      <c r="A26" s="445">
        <v>5.7</v>
      </c>
      <c r="B26" s="449" t="s">
        <v>541</v>
      </c>
      <c r="C26" s="721">
        <v>27608</v>
      </c>
      <c r="D26" s="721">
        <v>396760.14319999999</v>
      </c>
      <c r="E26" s="722">
        <f t="shared" si="0"/>
        <v>424368.14319999999</v>
      </c>
      <c r="F26" s="721">
        <v>27608</v>
      </c>
      <c r="G26" s="721">
        <v>386437.18199999997</v>
      </c>
      <c r="H26" s="723">
        <f t="shared" si="1"/>
        <v>414045.18199999997</v>
      </c>
    </row>
    <row r="27" spans="1:8" ht="15.75">
      <c r="A27" s="445">
        <v>6</v>
      </c>
      <c r="B27" s="448" t="s">
        <v>828</v>
      </c>
      <c r="C27" s="721">
        <v>0</v>
      </c>
      <c r="D27" s="721">
        <v>0</v>
      </c>
      <c r="E27" s="722">
        <f t="shared" si="0"/>
        <v>0</v>
      </c>
      <c r="F27" s="721"/>
      <c r="G27" s="721"/>
      <c r="H27" s="723">
        <f t="shared" si="1"/>
        <v>0</v>
      </c>
    </row>
    <row r="28" spans="1:8" ht="15.75">
      <c r="A28" s="445">
        <v>7</v>
      </c>
      <c r="B28" s="448" t="s">
        <v>829</v>
      </c>
      <c r="C28" s="721">
        <v>200000</v>
      </c>
      <c r="D28" s="721">
        <v>16019</v>
      </c>
      <c r="E28" s="722">
        <f t="shared" si="0"/>
        <v>216019</v>
      </c>
      <c r="F28" s="721">
        <v>2320000</v>
      </c>
      <c r="G28" s="721">
        <v>15602.09</v>
      </c>
      <c r="H28" s="723">
        <f t="shared" si="1"/>
        <v>2335602.09</v>
      </c>
    </row>
    <row r="29" spans="1:8" ht="15.75">
      <c r="A29" s="445">
        <v>8</v>
      </c>
      <c r="B29" s="448" t="s">
        <v>830</v>
      </c>
      <c r="C29" s="721"/>
      <c r="D29" s="721"/>
      <c r="E29" s="722">
        <f t="shared" si="0"/>
        <v>0</v>
      </c>
      <c r="F29" s="721"/>
      <c r="G29" s="721"/>
      <c r="H29" s="723">
        <f t="shared" si="1"/>
        <v>0</v>
      </c>
    </row>
    <row r="30" spans="1:8" ht="15.75">
      <c r="A30" s="445">
        <v>9</v>
      </c>
      <c r="B30" s="446" t="s">
        <v>185</v>
      </c>
      <c r="C30" s="721">
        <v>0</v>
      </c>
      <c r="D30" s="721">
        <v>0</v>
      </c>
      <c r="E30" s="722">
        <f t="shared" si="0"/>
        <v>0</v>
      </c>
      <c r="F30" s="721">
        <v>0</v>
      </c>
      <c r="G30" s="721">
        <v>0</v>
      </c>
      <c r="H30" s="723">
        <f t="shared" si="1"/>
        <v>0</v>
      </c>
    </row>
    <row r="31" spans="1:8" ht="25.5">
      <c r="A31" s="445">
        <v>9.1</v>
      </c>
      <c r="B31" s="447" t="s">
        <v>831</v>
      </c>
      <c r="C31" s="721"/>
      <c r="D31" s="721"/>
      <c r="E31" s="722">
        <f t="shared" si="0"/>
        <v>0</v>
      </c>
      <c r="F31" s="721"/>
      <c r="G31" s="721"/>
      <c r="H31" s="723">
        <f t="shared" si="1"/>
        <v>0</v>
      </c>
    </row>
    <row r="32" spans="1:8" ht="25.5">
      <c r="A32" s="445">
        <v>9.1999999999999993</v>
      </c>
      <c r="B32" s="447" t="s">
        <v>832</v>
      </c>
      <c r="C32" s="721"/>
      <c r="D32" s="721"/>
      <c r="E32" s="722">
        <f t="shared" si="0"/>
        <v>0</v>
      </c>
      <c r="F32" s="721"/>
      <c r="G32" s="721"/>
      <c r="H32" s="723">
        <f t="shared" si="1"/>
        <v>0</v>
      </c>
    </row>
    <row r="33" spans="1:8" ht="25.5">
      <c r="A33" s="445">
        <v>9.3000000000000007</v>
      </c>
      <c r="B33" s="447" t="s">
        <v>833</v>
      </c>
      <c r="C33" s="721"/>
      <c r="D33" s="721"/>
      <c r="E33" s="722">
        <f t="shared" si="0"/>
        <v>0</v>
      </c>
      <c r="F33" s="721"/>
      <c r="G33" s="721"/>
      <c r="H33" s="723">
        <f t="shared" si="1"/>
        <v>0</v>
      </c>
    </row>
    <row r="34" spans="1:8" ht="15.75">
      <c r="A34" s="445">
        <v>9.4</v>
      </c>
      <c r="B34" s="447" t="s">
        <v>834</v>
      </c>
      <c r="C34" s="721"/>
      <c r="D34" s="721"/>
      <c r="E34" s="722">
        <f t="shared" si="0"/>
        <v>0</v>
      </c>
      <c r="F34" s="721"/>
      <c r="G34" s="721"/>
      <c r="H34" s="723">
        <f t="shared" si="1"/>
        <v>0</v>
      </c>
    </row>
    <row r="35" spans="1:8" ht="15.75">
      <c r="A35" s="445">
        <v>9.5</v>
      </c>
      <c r="B35" s="447" t="s">
        <v>835</v>
      </c>
      <c r="C35" s="721"/>
      <c r="D35" s="721"/>
      <c r="E35" s="722">
        <f t="shared" si="0"/>
        <v>0</v>
      </c>
      <c r="F35" s="721"/>
      <c r="G35" s="721"/>
      <c r="H35" s="723">
        <f t="shared" si="1"/>
        <v>0</v>
      </c>
    </row>
    <row r="36" spans="1:8" ht="25.5">
      <c r="A36" s="445">
        <v>9.6</v>
      </c>
      <c r="B36" s="447" t="s">
        <v>836</v>
      </c>
      <c r="C36" s="721"/>
      <c r="D36" s="721"/>
      <c r="E36" s="722">
        <f t="shared" si="0"/>
        <v>0</v>
      </c>
      <c r="F36" s="721"/>
      <c r="G36" s="721"/>
      <c r="H36" s="723">
        <f t="shared" si="1"/>
        <v>0</v>
      </c>
    </row>
    <row r="37" spans="1:8" ht="25.5">
      <c r="A37" s="445">
        <v>9.6999999999999993</v>
      </c>
      <c r="B37" s="447" t="s">
        <v>837</v>
      </c>
      <c r="C37" s="721"/>
      <c r="D37" s="721"/>
      <c r="E37" s="722">
        <f t="shared" si="0"/>
        <v>0</v>
      </c>
      <c r="F37" s="721"/>
      <c r="G37" s="721"/>
      <c r="H37" s="723">
        <f t="shared" si="1"/>
        <v>0</v>
      </c>
    </row>
    <row r="38" spans="1:8" ht="15.75">
      <c r="A38" s="445">
        <v>10</v>
      </c>
      <c r="B38" s="452" t="s">
        <v>838</v>
      </c>
      <c r="C38" s="721">
        <f>SUM(C39:C42)</f>
        <v>23141135.759999998</v>
      </c>
      <c r="D38" s="721">
        <f>SUM(D39:D42)</f>
        <v>13769746.720000003</v>
      </c>
      <c r="E38" s="722">
        <f t="shared" si="0"/>
        <v>36910882.480000004</v>
      </c>
      <c r="F38" s="721">
        <v>19357013.41</v>
      </c>
      <c r="G38" s="721">
        <v>9396156.0700000003</v>
      </c>
      <c r="H38" s="723">
        <f t="shared" si="1"/>
        <v>28753169.48</v>
      </c>
    </row>
    <row r="39" spans="1:8" ht="34.9" customHeight="1">
      <c r="A39" s="445">
        <v>10.1</v>
      </c>
      <c r="B39" s="447" t="s">
        <v>839</v>
      </c>
      <c r="C39" s="721">
        <v>0</v>
      </c>
      <c r="D39" s="721">
        <v>0</v>
      </c>
      <c r="E39" s="722">
        <f t="shared" si="0"/>
        <v>0</v>
      </c>
      <c r="F39" s="721">
        <v>2320</v>
      </c>
      <c r="G39" s="721">
        <v>0</v>
      </c>
      <c r="H39" s="723">
        <f t="shared" si="1"/>
        <v>2320</v>
      </c>
    </row>
    <row r="40" spans="1:8" ht="25.5">
      <c r="A40" s="445">
        <v>10.199999999999999</v>
      </c>
      <c r="B40" s="447" t="s">
        <v>840</v>
      </c>
      <c r="C40" s="721">
        <v>3473733.58</v>
      </c>
      <c r="D40" s="721">
        <v>0</v>
      </c>
      <c r="E40" s="722">
        <f t="shared" si="0"/>
        <v>3473733.58</v>
      </c>
      <c r="F40" s="721">
        <v>28</v>
      </c>
      <c r="G40" s="721">
        <v>0</v>
      </c>
      <c r="H40" s="723">
        <f t="shared" si="1"/>
        <v>28</v>
      </c>
    </row>
    <row r="41" spans="1:8" ht="25.5">
      <c r="A41" s="445">
        <v>10.3</v>
      </c>
      <c r="B41" s="447" t="s">
        <v>841</v>
      </c>
      <c r="C41" s="721">
        <v>10964386.869999999</v>
      </c>
      <c r="D41" s="721">
        <v>1893468.96</v>
      </c>
      <c r="E41" s="722">
        <f t="shared" si="0"/>
        <v>12857855.829999998</v>
      </c>
      <c r="F41" s="721">
        <v>11125239.16</v>
      </c>
      <c r="G41" s="721">
        <v>1845589.2599999998</v>
      </c>
      <c r="H41" s="723">
        <f t="shared" si="1"/>
        <v>12970828.42</v>
      </c>
    </row>
    <row r="42" spans="1:8" ht="25.5">
      <c r="A42" s="445">
        <v>10.4</v>
      </c>
      <c r="B42" s="447" t="s">
        <v>842</v>
      </c>
      <c r="C42" s="721">
        <v>8703015.3100000005</v>
      </c>
      <c r="D42" s="721">
        <v>11876277.760000002</v>
      </c>
      <c r="E42" s="722">
        <f t="shared" si="0"/>
        <v>20579293.07</v>
      </c>
      <c r="F42" s="721">
        <v>8229426.25</v>
      </c>
      <c r="G42" s="721">
        <v>7550566.8100000005</v>
      </c>
      <c r="H42" s="723">
        <f t="shared" si="1"/>
        <v>15779993.060000001</v>
      </c>
    </row>
    <row r="43" spans="1:8" ht="15.75">
      <c r="A43" s="445">
        <v>11</v>
      </c>
      <c r="B43" s="453" t="s">
        <v>186</v>
      </c>
      <c r="C43" s="721"/>
      <c r="D43" s="721"/>
      <c r="E43" s="722">
        <f t="shared" si="0"/>
        <v>0</v>
      </c>
      <c r="F43" s="721"/>
      <c r="G43" s="721"/>
      <c r="H43" s="723">
        <f t="shared" si="1"/>
        <v>0</v>
      </c>
    </row>
    <row r="44" spans="1:8" ht="15.75">
      <c r="C44" s="455"/>
      <c r="D44" s="455"/>
      <c r="E44" s="455"/>
      <c r="F44" s="455"/>
      <c r="G44" s="455"/>
      <c r="H44" s="455"/>
    </row>
    <row r="45" spans="1:8" ht="15.75">
      <c r="C45" s="455"/>
      <c r="D45" s="455"/>
      <c r="E45" s="455"/>
      <c r="F45" s="455"/>
      <c r="G45" s="455"/>
      <c r="H45" s="455"/>
    </row>
    <row r="46" spans="1:8" ht="15.75">
      <c r="C46" s="455"/>
      <c r="D46" s="455"/>
      <c r="E46" s="455"/>
      <c r="F46" s="455"/>
      <c r="G46" s="455"/>
      <c r="H46" s="455"/>
    </row>
    <row r="47" spans="1:8" ht="15.75">
      <c r="C47" s="455"/>
      <c r="D47" s="455"/>
      <c r="E47" s="455"/>
      <c r="F47" s="455"/>
      <c r="G47" s="455"/>
      <c r="H47" s="455"/>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Normal="100" workbookViewId="0">
      <pane xSplit="1" ySplit="4" topLeftCell="B5" activePane="bottomRight" state="frozen"/>
      <selection activeCell="B2" sqref="B2"/>
      <selection pane="topRight" activeCell="B2" sqref="B2"/>
      <selection pane="bottomLeft" activeCell="B2" sqref="B2"/>
      <selection pane="bottomRight" activeCell="C7" sqref="C7:G12"/>
    </sheetView>
  </sheetViews>
  <sheetFormatPr defaultColWidth="9.28515625" defaultRowHeight="12.75"/>
  <cols>
    <col min="1" max="1" width="9.5703125" style="2" bestFit="1" customWidth="1"/>
    <col min="2" max="2" width="93.5703125" style="2" customWidth="1"/>
    <col min="3" max="3" width="16.28515625" style="2" customWidth="1"/>
    <col min="4" max="4" width="15.42578125" style="2" customWidth="1"/>
    <col min="5" max="5" width="15.42578125" style="12" customWidth="1"/>
    <col min="6" max="6" width="11.28515625" style="12" bestFit="1" customWidth="1"/>
    <col min="7" max="7" width="28" style="12" customWidth="1"/>
    <col min="8" max="11" width="9.7109375" style="12" customWidth="1"/>
    <col min="12" max="16384" width="9.28515625" style="12"/>
  </cols>
  <sheetData>
    <row r="1" spans="1:8" ht="15">
      <c r="A1" s="17" t="s">
        <v>108</v>
      </c>
      <c r="B1" s="16" t="str">
        <f>Info!C2</f>
        <v>JSC "VTB Bank (Georgia)"</v>
      </c>
      <c r="C1" s="16"/>
      <c r="D1" s="226"/>
    </row>
    <row r="2" spans="1:8" ht="15">
      <c r="A2" s="17" t="s">
        <v>109</v>
      </c>
      <c r="B2" s="336">
        <f>Info!D2</f>
        <v>45747</v>
      </c>
      <c r="C2" s="29"/>
      <c r="D2" s="18"/>
      <c r="E2" s="11"/>
      <c r="F2" s="11"/>
      <c r="G2" s="11"/>
      <c r="H2" s="11"/>
    </row>
    <row r="3" spans="1:8" ht="15.75" thickBot="1">
      <c r="A3" s="17"/>
      <c r="B3" s="16"/>
      <c r="C3" s="29"/>
      <c r="D3" s="18"/>
      <c r="E3" s="11"/>
      <c r="F3" s="11"/>
      <c r="G3" s="11"/>
      <c r="H3" s="11"/>
    </row>
    <row r="4" spans="1:8" s="793" customFormat="1" ht="58.5" customHeight="1" thickBot="1">
      <c r="A4" s="790" t="s">
        <v>253</v>
      </c>
      <c r="B4" s="791" t="s">
        <v>107</v>
      </c>
      <c r="C4" s="789" t="s">
        <v>87</v>
      </c>
      <c r="D4" s="792"/>
      <c r="G4" s="794" t="s">
        <v>984</v>
      </c>
    </row>
    <row r="5" spans="1:8" ht="15" customHeight="1">
      <c r="A5" s="152" t="s">
        <v>25</v>
      </c>
      <c r="B5" s="153"/>
      <c r="C5" s="326" t="str">
        <f>INT((MONTH($B$2))/3)&amp;"Q"&amp;"-"&amp;YEAR($B$2)</f>
        <v>1Q-2025</v>
      </c>
      <c r="D5" s="326" t="str">
        <f>IF(INT(MONTH($B$2))=3, "4"&amp;"Q"&amp;"-"&amp;YEAR($B$2)-1, IF(INT(MONTH($B$2))=6, "1"&amp;"Q"&amp;"-"&amp;YEAR($B$2), IF(INT(MONTH($B$2))=9, "2"&amp;"Q"&amp;"-"&amp;YEAR($B$2),IF(INT(MONTH($B$2))=12, "3"&amp;"Q"&amp;"-"&amp;YEAR($B$2), 0))))</f>
        <v>4Q-2024</v>
      </c>
      <c r="E5" s="326" t="str">
        <f>IF(INT(MONTH($B$2))=3, "3"&amp;"Q"&amp;"-"&amp;YEAR($B$2)-1, IF(INT(MONTH($B$2))=6, "4"&amp;"Q"&amp;"-"&amp;YEAR($B$2)-1, IF(INT(MONTH($B$2))=9, "1"&amp;"Q"&amp;"-"&amp;YEAR($B$2),IF(INT(MONTH($B$2))=12, "2"&amp;"Q"&amp;"-"&amp;YEAR($B$2), 0))))</f>
        <v>3Q-2024</v>
      </c>
      <c r="F5" s="326" t="str">
        <f>IF(INT(MONTH($B$2))=3, "2"&amp;"Q"&amp;"-"&amp;YEAR($B$2)-1, IF(INT(MONTH($B$2))=6, "3"&amp;"Q"&amp;"-"&amp;YEAR($B$2)-1, IF(INT(MONTH($B$2))=9, "4"&amp;"Q"&amp;"-"&amp;YEAR($B$2)-1,IF(INT(MONTH($B$2))=12, "1"&amp;"Q"&amp;"-"&amp;YEAR($B$2), 0))))</f>
        <v>2Q-2024</v>
      </c>
      <c r="G5" s="326" t="str">
        <f>IF(INT(MONTH($B$2))=3, "1"&amp;"Q"&amp;"-"&amp;YEAR($B$2)-1, IF(INT(MONTH($B$2))=6, "2"&amp;"Q"&amp;"-"&amp;YEAR($B$2)-1, IF(INT(MONTH($B$2))=9, "3"&amp;"Q"&amp;"-"&amp;YEAR($B$2)-1,IF(INT(MONTH($B$2))=12, "4"&amp;"Q"&amp;"-"&amp;YEAR($B$2)-1, 0))))</f>
        <v>1Q-2024</v>
      </c>
    </row>
    <row r="6" spans="1:8" ht="15" customHeight="1">
      <c r="A6" s="262">
        <v>1</v>
      </c>
      <c r="B6" s="312" t="s">
        <v>112</v>
      </c>
      <c r="C6" s="263">
        <f>C7+C9+C10</f>
        <v>280677683.8740586</v>
      </c>
      <c r="D6" s="315">
        <f>D7+D9+D10</f>
        <v>289607085.6474117</v>
      </c>
      <c r="E6" s="264">
        <f t="shared" ref="E6:G6" si="0">E7+E9+E10</f>
        <v>300815922.62531</v>
      </c>
      <c r="F6" s="263">
        <f t="shared" si="0"/>
        <v>310114061.63538712</v>
      </c>
      <c r="G6" s="316">
        <f t="shared" si="0"/>
        <v>305381708.72451621</v>
      </c>
    </row>
    <row r="7" spans="1:8" ht="15" customHeight="1">
      <c r="A7" s="262">
        <v>1.1000000000000001</v>
      </c>
      <c r="B7" s="265" t="s">
        <v>436</v>
      </c>
      <c r="C7" s="700">
        <v>280585092.70082432</v>
      </c>
      <c r="D7" s="700">
        <v>289514442.48778641</v>
      </c>
      <c r="E7" s="700">
        <v>300723402.82530999</v>
      </c>
      <c r="F7" s="701">
        <v>310026244.58038962</v>
      </c>
      <c r="G7" s="700">
        <v>305250615.29279292</v>
      </c>
    </row>
    <row r="8" spans="1:8" ht="25.5">
      <c r="A8" s="262" t="s">
        <v>157</v>
      </c>
      <c r="B8" s="266" t="s">
        <v>250</v>
      </c>
      <c r="C8" s="700">
        <v>707862.5</v>
      </c>
      <c r="D8" s="700">
        <v>792472.5</v>
      </c>
      <c r="E8" s="700">
        <v>0</v>
      </c>
      <c r="F8" s="701">
        <v>0</v>
      </c>
      <c r="G8" s="700">
        <v>0</v>
      </c>
    </row>
    <row r="9" spans="1:8" ht="15" customHeight="1">
      <c r="A9" s="262">
        <v>1.2</v>
      </c>
      <c r="B9" s="265" t="s">
        <v>21</v>
      </c>
      <c r="C9" s="700">
        <v>92591.173234302783</v>
      </c>
      <c r="D9" s="700">
        <v>92643.159625306376</v>
      </c>
      <c r="E9" s="700">
        <v>92519.8</v>
      </c>
      <c r="F9" s="701">
        <v>87817.054997499916</v>
      </c>
      <c r="G9" s="700">
        <v>131093.43172326882</v>
      </c>
    </row>
    <row r="10" spans="1:8" ht="15" customHeight="1">
      <c r="A10" s="262">
        <v>1.3</v>
      </c>
      <c r="B10" s="313" t="s">
        <v>74</v>
      </c>
      <c r="C10" s="702">
        <v>0</v>
      </c>
      <c r="D10" s="702">
        <v>0</v>
      </c>
      <c r="E10" s="702">
        <v>0</v>
      </c>
      <c r="F10" s="701">
        <v>0</v>
      </c>
      <c r="G10" s="702">
        <v>0</v>
      </c>
    </row>
    <row r="11" spans="1:8" ht="15" customHeight="1">
      <c r="A11" s="262">
        <v>2</v>
      </c>
      <c r="B11" s="312" t="s">
        <v>113</v>
      </c>
      <c r="C11" s="700">
        <v>186403342.12812796</v>
      </c>
      <c r="D11" s="700">
        <v>186812095.97714475</v>
      </c>
      <c r="E11" s="700">
        <v>188868827.36185053</v>
      </c>
      <c r="F11" s="701">
        <v>190200488.01198363</v>
      </c>
      <c r="G11" s="700">
        <v>181081494.18333694</v>
      </c>
    </row>
    <row r="12" spans="1:8" ht="15" customHeight="1">
      <c r="A12" s="276">
        <v>3</v>
      </c>
      <c r="B12" s="314" t="s">
        <v>111</v>
      </c>
      <c r="C12" s="702">
        <v>61890734.110378385</v>
      </c>
      <c r="D12" s="702">
        <v>61890734.110378385</v>
      </c>
      <c r="E12" s="702">
        <v>94935796.149143949</v>
      </c>
      <c r="F12" s="701">
        <v>94935796.149143949</v>
      </c>
      <c r="G12" s="702">
        <v>94935796.149143949</v>
      </c>
    </row>
    <row r="13" spans="1:8" ht="15" customHeight="1" thickBot="1">
      <c r="A13" s="85">
        <v>4</v>
      </c>
      <c r="B13" s="319" t="s">
        <v>158</v>
      </c>
      <c r="C13" s="171">
        <f>C6+C11+C12</f>
        <v>528971760.11256492</v>
      </c>
      <c r="D13" s="317">
        <f>D6+D11+D12</f>
        <v>538309915.73493481</v>
      </c>
      <c r="E13" s="172">
        <f t="shared" ref="E13:G13" si="1">E6+E11+E12</f>
        <v>584620546.1363045</v>
      </c>
      <c r="F13" s="171">
        <f t="shared" si="1"/>
        <v>595250345.79651475</v>
      </c>
      <c r="G13" s="318">
        <f t="shared" si="1"/>
        <v>581398999.05699706</v>
      </c>
    </row>
    <row r="14" spans="1:8">
      <c r="B14" s="23"/>
      <c r="C14" s="660">
        <f>C13-'1. key ratios'!C15</f>
        <v>0</v>
      </c>
      <c r="D14" s="660">
        <f>D13-'1. key ratios'!D15</f>
        <v>0</v>
      </c>
      <c r="E14" s="660">
        <f>E13-'1. key ratios'!E15</f>
        <v>0</v>
      </c>
      <c r="F14" s="660">
        <f>F13-'1. key ratios'!F15</f>
        <v>0</v>
      </c>
      <c r="G14" s="660"/>
    </row>
    <row r="15" spans="1:8" ht="25.5">
      <c r="B15" s="66" t="s">
        <v>437</v>
      </c>
    </row>
    <row r="16" spans="1:8">
      <c r="B16" s="66"/>
    </row>
    <row r="17" spans="2:2" ht="25.5">
      <c r="B17" s="66" t="s">
        <v>983</v>
      </c>
    </row>
    <row r="18" spans="2:2">
      <c r="B18" s="6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Normal="100" workbookViewId="0">
      <pane xSplit="1" ySplit="4" topLeftCell="B11" activePane="bottomRight" state="frozen"/>
      <selection activeCell="B2" sqref="B2"/>
      <selection pane="topRight" activeCell="B2" sqref="B2"/>
      <selection pane="bottomLeft" activeCell="B2" sqref="B2"/>
      <selection pane="bottomRight" activeCell="C30" sqref="C30"/>
    </sheetView>
  </sheetViews>
  <sheetFormatPr defaultRowHeight="15"/>
  <cols>
    <col min="1" max="1" width="9.5703125" style="2" bestFit="1" customWidth="1"/>
    <col min="2" max="2" width="58.7109375" style="2" customWidth="1"/>
    <col min="3" max="3" width="35.85546875" style="2" bestFit="1" customWidth="1"/>
  </cols>
  <sheetData>
    <row r="1" spans="1:8">
      <c r="A1" s="2" t="s">
        <v>108</v>
      </c>
      <c r="B1" s="226" t="str">
        <f>Info!C2</f>
        <v>JSC "VTB Bank (Georgia)"</v>
      </c>
    </row>
    <row r="2" spans="1:8">
      <c r="A2" s="2" t="s">
        <v>109</v>
      </c>
      <c r="B2" s="336">
        <f>Info!D2</f>
        <v>45747</v>
      </c>
    </row>
    <row r="4" spans="1:8" ht="25.5" customHeight="1" thickBot="1">
      <c r="A4" s="165" t="s">
        <v>254</v>
      </c>
      <c r="B4" s="31" t="s">
        <v>91</v>
      </c>
      <c r="C4" s="13"/>
    </row>
    <row r="5" spans="1:8" ht="15.75">
      <c r="A5" s="10"/>
      <c r="B5" s="307" t="s">
        <v>92</v>
      </c>
      <c r="C5" s="324" t="s">
        <v>450</v>
      </c>
    </row>
    <row r="6" spans="1:8">
      <c r="A6" s="671">
        <v>1</v>
      </c>
      <c r="B6" s="670" t="s">
        <v>963</v>
      </c>
      <c r="C6" s="669" t="s">
        <v>964</v>
      </c>
    </row>
    <row r="7" spans="1:8">
      <c r="A7" s="671">
        <v>2</v>
      </c>
      <c r="B7" s="670" t="s">
        <v>965</v>
      </c>
      <c r="C7" s="669" t="s">
        <v>966</v>
      </c>
    </row>
    <row r="8" spans="1:8">
      <c r="A8" s="671">
        <v>3</v>
      </c>
      <c r="B8" s="670" t="s">
        <v>967</v>
      </c>
      <c r="C8" s="669" t="s">
        <v>966</v>
      </c>
    </row>
    <row r="9" spans="1:8">
      <c r="A9" s="671">
        <v>4</v>
      </c>
      <c r="B9" s="670" t="s">
        <v>986</v>
      </c>
      <c r="C9" s="669" t="s">
        <v>966</v>
      </c>
    </row>
    <row r="10" spans="1:8">
      <c r="A10" s="14">
        <v>5</v>
      </c>
      <c r="B10" s="32"/>
      <c r="C10" s="320"/>
    </row>
    <row r="11" spans="1:8">
      <c r="A11" s="14">
        <v>6</v>
      </c>
      <c r="B11" s="32"/>
      <c r="C11" s="320"/>
    </row>
    <row r="12" spans="1:8">
      <c r="A12" s="14">
        <v>7</v>
      </c>
      <c r="B12" s="32"/>
      <c r="C12" s="320"/>
      <c r="H12" s="4"/>
    </row>
    <row r="13" spans="1:8">
      <c r="A13" s="14">
        <v>8</v>
      </c>
      <c r="B13" s="32"/>
      <c r="C13" s="320"/>
    </row>
    <row r="14" spans="1:8">
      <c r="A14" s="14">
        <v>9</v>
      </c>
      <c r="B14" s="32"/>
      <c r="C14" s="320"/>
    </row>
    <row r="15" spans="1:8">
      <c r="A15" s="14">
        <v>10</v>
      </c>
      <c r="B15" s="32"/>
      <c r="C15" s="320"/>
    </row>
    <row r="16" spans="1:8">
      <c r="A16" s="14"/>
      <c r="B16" s="826"/>
      <c r="C16" s="827"/>
    </row>
    <row r="17" spans="1:3" ht="60">
      <c r="A17" s="14"/>
      <c r="B17" s="308" t="s">
        <v>93</v>
      </c>
      <c r="C17" s="325" t="s">
        <v>451</v>
      </c>
    </row>
    <row r="18" spans="1:3" ht="15.75">
      <c r="A18" s="671">
        <v>1</v>
      </c>
      <c r="B18" s="668" t="s">
        <v>968</v>
      </c>
      <c r="C18" s="667" t="s">
        <v>969</v>
      </c>
    </row>
    <row r="19" spans="1:3" ht="15.75">
      <c r="A19" s="671">
        <v>2</v>
      </c>
      <c r="B19" s="668" t="s">
        <v>970</v>
      </c>
      <c r="C19" s="667" t="s">
        <v>971</v>
      </c>
    </row>
    <row r="20" spans="1:3" ht="15.75">
      <c r="A20" s="671">
        <v>3</v>
      </c>
      <c r="B20" s="668" t="s">
        <v>972</v>
      </c>
      <c r="C20" s="667" t="s">
        <v>973</v>
      </c>
    </row>
    <row r="21" spans="1:3" ht="15.75">
      <c r="A21" s="671">
        <v>4</v>
      </c>
      <c r="B21" s="668" t="s">
        <v>974</v>
      </c>
      <c r="C21" s="667" t="s">
        <v>975</v>
      </c>
    </row>
    <row r="22" spans="1:3" ht="15.75">
      <c r="A22" s="671">
        <v>5</v>
      </c>
      <c r="B22" s="668" t="s">
        <v>976</v>
      </c>
      <c r="C22" s="667" t="s">
        <v>977</v>
      </c>
    </row>
    <row r="23" spans="1:3" ht="15.75">
      <c r="A23" s="671">
        <v>6</v>
      </c>
      <c r="B23" s="668" t="s">
        <v>978</v>
      </c>
      <c r="C23" s="667" t="s">
        <v>979</v>
      </c>
    </row>
    <row r="24" spans="1:3" ht="15.75">
      <c r="A24" s="14">
        <v>7</v>
      </c>
      <c r="B24" s="27"/>
      <c r="C24" s="322"/>
    </row>
    <row r="25" spans="1:3" ht="15.75">
      <c r="A25" s="14">
        <v>8</v>
      </c>
      <c r="B25" s="27"/>
      <c r="C25" s="322"/>
    </row>
    <row r="26" spans="1:3" ht="15.75">
      <c r="A26" s="14">
        <v>9</v>
      </c>
      <c r="B26" s="27"/>
      <c r="C26" s="322"/>
    </row>
    <row r="27" spans="1:3" ht="15.75" customHeight="1">
      <c r="A27" s="14">
        <v>10</v>
      </c>
      <c r="B27" s="27"/>
      <c r="C27" s="323"/>
    </row>
    <row r="28" spans="1:3" ht="15.75" customHeight="1">
      <c r="A28" s="14"/>
      <c r="B28" s="27"/>
      <c r="C28" s="28"/>
    </row>
    <row r="29" spans="1:3" ht="30" customHeight="1">
      <c r="A29" s="14"/>
      <c r="B29" s="828" t="s">
        <v>94</v>
      </c>
      <c r="C29" s="829"/>
    </row>
    <row r="30" spans="1:3">
      <c r="A30" s="14">
        <v>1</v>
      </c>
      <c r="B30" s="670" t="s">
        <v>980</v>
      </c>
      <c r="C30" s="666">
        <v>0.97384321770185212</v>
      </c>
    </row>
    <row r="31" spans="1:3" ht="15.75" customHeight="1">
      <c r="A31" s="14">
        <v>2</v>
      </c>
      <c r="B31" s="670" t="s">
        <v>981</v>
      </c>
      <c r="C31" s="666">
        <v>1.472765597699272E-2</v>
      </c>
    </row>
    <row r="32" spans="1:3" ht="29.25" customHeight="1">
      <c r="A32" s="14"/>
      <c r="B32" s="828" t="s">
        <v>174</v>
      </c>
      <c r="C32" s="829"/>
    </row>
    <row r="33" spans="1:3">
      <c r="A33" s="14">
        <v>1</v>
      </c>
      <c r="B33" s="670" t="s">
        <v>982</v>
      </c>
      <c r="C33" s="665">
        <v>0.60183510853974465</v>
      </c>
    </row>
    <row r="34" spans="1:3" ht="16.5" thickBot="1">
      <c r="A34" s="15"/>
      <c r="B34" s="33"/>
      <c r="C34" s="321"/>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3"/>
  <sheetViews>
    <sheetView zoomScale="70" zoomScaleNormal="70" workbookViewId="0">
      <pane xSplit="1" ySplit="5" topLeftCell="B27" activePane="bottomRight" state="frozen"/>
      <selection activeCell="B2" sqref="B2"/>
      <selection pane="topRight" activeCell="B2" sqref="B2"/>
      <selection pane="bottomLeft" activeCell="B2" sqref="B2"/>
      <selection pane="bottomRight" activeCell="C8" sqref="C8:E35"/>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108</v>
      </c>
      <c r="B1" s="16" t="str">
        <f>Info!C2</f>
        <v>JSC "VTB Bank (Georgia)"</v>
      </c>
    </row>
    <row r="2" spans="1:7" s="21" customFormat="1" ht="15.75" customHeight="1">
      <c r="A2" s="21" t="s">
        <v>109</v>
      </c>
      <c r="B2" s="336">
        <f>Info!D2</f>
        <v>45747</v>
      </c>
    </row>
    <row r="3" spans="1:7" s="21" customFormat="1" ht="15.75" customHeight="1"/>
    <row r="4" spans="1:7" s="21" customFormat="1" ht="15.75" customHeight="1" thickBot="1">
      <c r="A4" s="166" t="s">
        <v>255</v>
      </c>
      <c r="B4" s="167" t="s">
        <v>168</v>
      </c>
      <c r="C4" s="134"/>
      <c r="D4" s="134"/>
      <c r="E4" s="135" t="s">
        <v>87</v>
      </c>
    </row>
    <row r="5" spans="1:7" s="81" customFormat="1" ht="17.850000000000001" customHeight="1">
      <c r="A5" s="238"/>
      <c r="B5" s="239"/>
      <c r="C5" s="133" t="s">
        <v>0</v>
      </c>
      <c r="D5" s="133" t="s">
        <v>1</v>
      </c>
      <c r="E5" s="240" t="s">
        <v>2</v>
      </c>
    </row>
    <row r="6" spans="1:7" s="101" customFormat="1" ht="14.85" customHeight="1">
      <c r="A6" s="241"/>
      <c r="B6" s="830" t="s">
        <v>144</v>
      </c>
      <c r="C6" s="830" t="s">
        <v>856</v>
      </c>
      <c r="D6" s="831" t="s">
        <v>143</v>
      </c>
      <c r="E6" s="832"/>
      <c r="G6"/>
    </row>
    <row r="7" spans="1:7" s="101" customFormat="1" ht="99.6" customHeight="1">
      <c r="A7" s="241"/>
      <c r="B7" s="830"/>
      <c r="C7" s="830"/>
      <c r="D7" s="236" t="s">
        <v>142</v>
      </c>
      <c r="E7" s="237" t="s">
        <v>353</v>
      </c>
      <c r="G7"/>
    </row>
    <row r="8" spans="1:7" s="101" customFormat="1" ht="22.5" customHeight="1">
      <c r="A8" s="457">
        <v>1</v>
      </c>
      <c r="B8" s="402" t="s">
        <v>843</v>
      </c>
      <c r="C8" s="743">
        <v>182687539.47370002</v>
      </c>
      <c r="D8" s="743">
        <v>0</v>
      </c>
      <c r="E8" s="743">
        <v>182687539.47370002</v>
      </c>
      <c r="G8"/>
    </row>
    <row r="9" spans="1:7" s="101" customFormat="1">
      <c r="A9" s="457">
        <v>1.1000000000000001</v>
      </c>
      <c r="B9" s="403" t="s">
        <v>96</v>
      </c>
      <c r="C9" s="743">
        <v>175788349.9339</v>
      </c>
      <c r="D9" s="743">
        <v>0</v>
      </c>
      <c r="E9" s="743">
        <v>175788349.9339</v>
      </c>
      <c r="G9"/>
    </row>
    <row r="10" spans="1:7" s="101" customFormat="1">
      <c r="A10" s="457">
        <v>1.2</v>
      </c>
      <c r="B10" s="403" t="s">
        <v>97</v>
      </c>
      <c r="C10" s="743">
        <v>351.36</v>
      </c>
      <c r="D10" s="743">
        <v>0</v>
      </c>
      <c r="E10" s="743">
        <v>351.36</v>
      </c>
      <c r="G10"/>
    </row>
    <row r="11" spans="1:7" s="101" customFormat="1">
      <c r="A11" s="457">
        <v>1.3</v>
      </c>
      <c r="B11" s="403" t="s">
        <v>98</v>
      </c>
      <c r="C11" s="743">
        <v>6898838.1798</v>
      </c>
      <c r="D11" s="743">
        <v>0</v>
      </c>
      <c r="E11" s="743">
        <v>6898838.1798</v>
      </c>
      <c r="G11"/>
    </row>
    <row r="12" spans="1:7" s="101" customFormat="1">
      <c r="A12" s="457">
        <v>2</v>
      </c>
      <c r="B12" s="404" t="s">
        <v>730</v>
      </c>
      <c r="C12" s="743"/>
      <c r="D12" s="743"/>
      <c r="E12" s="743">
        <v>0</v>
      </c>
      <c r="G12"/>
    </row>
    <row r="13" spans="1:7" s="101" customFormat="1" ht="21">
      <c r="A13" s="457">
        <v>2.1</v>
      </c>
      <c r="B13" s="405" t="s">
        <v>731</v>
      </c>
      <c r="C13" s="743"/>
      <c r="D13" s="743"/>
      <c r="E13" s="743">
        <v>0</v>
      </c>
      <c r="G13"/>
    </row>
    <row r="14" spans="1:7" s="101" customFormat="1" ht="34.35" customHeight="1">
      <c r="A14" s="457">
        <v>3</v>
      </c>
      <c r="B14" s="406" t="s">
        <v>732</v>
      </c>
      <c r="C14" s="743"/>
      <c r="D14" s="743"/>
      <c r="E14" s="743">
        <v>0</v>
      </c>
      <c r="G14"/>
    </row>
    <row r="15" spans="1:7" s="101" customFormat="1" ht="32.85" customHeight="1">
      <c r="A15" s="457">
        <v>4</v>
      </c>
      <c r="B15" s="407" t="s">
        <v>733</v>
      </c>
      <c r="C15" s="743"/>
      <c r="D15" s="743"/>
      <c r="E15" s="743">
        <v>0</v>
      </c>
      <c r="G15"/>
    </row>
    <row r="16" spans="1:7" s="101" customFormat="1" ht="23.1" customHeight="1">
      <c r="A16" s="457">
        <v>5</v>
      </c>
      <c r="B16" s="407" t="s">
        <v>734</v>
      </c>
      <c r="C16" s="743">
        <v>54000</v>
      </c>
      <c r="D16" s="743">
        <v>0</v>
      </c>
      <c r="E16" s="743">
        <v>54000</v>
      </c>
      <c r="G16"/>
    </row>
    <row r="17" spans="1:7" s="101" customFormat="1">
      <c r="A17" s="457">
        <v>5.0999999999999996</v>
      </c>
      <c r="B17" s="408" t="s">
        <v>735</v>
      </c>
      <c r="C17" s="743">
        <v>54000</v>
      </c>
      <c r="D17" s="743"/>
      <c r="E17" s="743">
        <v>54000</v>
      </c>
      <c r="G17"/>
    </row>
    <row r="18" spans="1:7" s="101" customFormat="1">
      <c r="A18" s="457">
        <v>5.2</v>
      </c>
      <c r="B18" s="408" t="s">
        <v>569</v>
      </c>
      <c r="C18" s="743"/>
      <c r="D18" s="743"/>
      <c r="E18" s="743">
        <v>0</v>
      </c>
      <c r="G18"/>
    </row>
    <row r="19" spans="1:7" s="101" customFormat="1">
      <c r="A19" s="457">
        <v>5.3</v>
      </c>
      <c r="B19" s="408" t="s">
        <v>736</v>
      </c>
      <c r="C19" s="743"/>
      <c r="D19" s="743"/>
      <c r="E19" s="743">
        <v>0</v>
      </c>
      <c r="G19"/>
    </row>
    <row r="20" spans="1:7" s="101" customFormat="1" ht="21">
      <c r="A20" s="457">
        <v>6</v>
      </c>
      <c r="B20" s="406" t="s">
        <v>737</v>
      </c>
      <c r="C20" s="743">
        <v>163921724.05384371</v>
      </c>
      <c r="D20" s="743">
        <v>0</v>
      </c>
      <c r="E20" s="743">
        <v>163921724.05384371</v>
      </c>
      <c r="G20"/>
    </row>
    <row r="21" spans="1:7">
      <c r="A21" s="457">
        <v>6.1</v>
      </c>
      <c r="B21" s="408" t="s">
        <v>569</v>
      </c>
      <c r="C21" s="744"/>
      <c r="D21" s="744"/>
      <c r="E21" s="744">
        <v>0</v>
      </c>
    </row>
    <row r="22" spans="1:7">
      <c r="A22" s="457">
        <v>6.2</v>
      </c>
      <c r="B22" s="408" t="s">
        <v>736</v>
      </c>
      <c r="C22" s="744">
        <v>163921724.05384371</v>
      </c>
      <c r="D22" s="744">
        <v>0</v>
      </c>
      <c r="E22" s="743">
        <v>163921724.05384371</v>
      </c>
    </row>
    <row r="23" spans="1:7" ht="21">
      <c r="A23" s="457">
        <v>7</v>
      </c>
      <c r="B23" s="409" t="s">
        <v>738</v>
      </c>
      <c r="C23" s="744">
        <v>0</v>
      </c>
      <c r="D23" s="744">
        <v>0</v>
      </c>
      <c r="E23" s="743">
        <v>0</v>
      </c>
    </row>
    <row r="24" spans="1:7" ht="21">
      <c r="A24" s="457">
        <v>8</v>
      </c>
      <c r="B24" s="410" t="s">
        <v>739</v>
      </c>
      <c r="C24" s="744"/>
      <c r="D24" s="744"/>
      <c r="E24" s="744">
        <v>0</v>
      </c>
    </row>
    <row r="25" spans="1:7">
      <c r="A25" s="457">
        <v>9</v>
      </c>
      <c r="B25" s="407" t="s">
        <v>740</v>
      </c>
      <c r="C25" s="744">
        <v>61637118.220000014</v>
      </c>
      <c r="D25" s="744">
        <v>0</v>
      </c>
      <c r="E25" s="744">
        <v>61637118.220000014</v>
      </c>
    </row>
    <row r="26" spans="1:7">
      <c r="A26" s="457">
        <v>9.1</v>
      </c>
      <c r="B26" s="411" t="s">
        <v>741</v>
      </c>
      <c r="C26" s="744">
        <v>33736792.219999999</v>
      </c>
      <c r="D26" s="744"/>
      <c r="E26" s="743">
        <v>33736792.219999999</v>
      </c>
    </row>
    <row r="27" spans="1:7">
      <c r="A27" s="457">
        <v>9.1999999999999993</v>
      </c>
      <c r="B27" s="411" t="s">
        <v>742</v>
      </c>
      <c r="C27" s="744">
        <v>27900326.000000019</v>
      </c>
      <c r="D27" s="744"/>
      <c r="E27" s="743">
        <v>27900326.000000019</v>
      </c>
    </row>
    <row r="28" spans="1:7">
      <c r="A28" s="457">
        <v>10</v>
      </c>
      <c r="B28" s="407" t="s">
        <v>36</v>
      </c>
      <c r="C28" s="744">
        <v>961591.24000000022</v>
      </c>
      <c r="D28" s="744">
        <v>961591.24000000022</v>
      </c>
      <c r="E28" s="744">
        <v>0</v>
      </c>
    </row>
    <row r="29" spans="1:7">
      <c r="A29" s="457">
        <v>10.1</v>
      </c>
      <c r="B29" s="411" t="s">
        <v>743</v>
      </c>
      <c r="C29" s="744">
        <v>0</v>
      </c>
      <c r="D29" s="744"/>
      <c r="E29" s="743">
        <v>0</v>
      </c>
    </row>
    <row r="30" spans="1:7">
      <c r="A30" s="457">
        <v>10.199999999999999</v>
      </c>
      <c r="B30" s="411" t="s">
        <v>744</v>
      </c>
      <c r="C30" s="744">
        <v>961591.24000000022</v>
      </c>
      <c r="D30" s="744">
        <v>961591.24000000022</v>
      </c>
      <c r="E30" s="743">
        <v>0</v>
      </c>
    </row>
    <row r="31" spans="1:7">
      <c r="A31" s="457">
        <v>11</v>
      </c>
      <c r="B31" s="407" t="s">
        <v>745</v>
      </c>
      <c r="C31" s="744">
        <v>2427219.54</v>
      </c>
      <c r="D31" s="744">
        <v>0</v>
      </c>
      <c r="E31" s="744">
        <v>2427219.54</v>
      </c>
    </row>
    <row r="32" spans="1:7">
      <c r="A32" s="457">
        <v>11.1</v>
      </c>
      <c r="B32" s="411" t="s">
        <v>746</v>
      </c>
      <c r="C32" s="744">
        <v>2144074.54</v>
      </c>
      <c r="D32" s="744"/>
      <c r="E32" s="743">
        <v>2144074.54</v>
      </c>
    </row>
    <row r="33" spans="1:7">
      <c r="A33" s="457">
        <v>11.2</v>
      </c>
      <c r="B33" s="411" t="s">
        <v>747</v>
      </c>
      <c r="C33" s="744">
        <v>283145</v>
      </c>
      <c r="D33" s="744"/>
      <c r="E33" s="743">
        <v>283145</v>
      </c>
    </row>
    <row r="34" spans="1:7">
      <c r="A34" s="457">
        <v>13</v>
      </c>
      <c r="B34" s="407" t="s">
        <v>99</v>
      </c>
      <c r="C34" s="744">
        <v>37501815.872226007</v>
      </c>
      <c r="D34" s="744"/>
      <c r="E34" s="743">
        <v>37501815.872226007</v>
      </c>
    </row>
    <row r="35" spans="1:7">
      <c r="A35" s="457">
        <v>13.1</v>
      </c>
      <c r="B35" s="412" t="s">
        <v>748</v>
      </c>
      <c r="C35" s="744">
        <v>21733569</v>
      </c>
      <c r="D35" s="744"/>
      <c r="E35" s="743">
        <v>21733569</v>
      </c>
    </row>
    <row r="36" spans="1:7">
      <c r="A36" s="457">
        <v>13.2</v>
      </c>
      <c r="B36" s="412" t="s">
        <v>749</v>
      </c>
      <c r="C36" s="459"/>
      <c r="D36" s="459"/>
      <c r="E36" s="458">
        <v>0</v>
      </c>
    </row>
    <row r="37" spans="1:7" ht="51.75" thickBot="1">
      <c r="A37" s="242"/>
      <c r="B37" s="243" t="s">
        <v>320</v>
      </c>
      <c r="C37" s="203">
        <f>SUM(C8,C12,C14,C15,C16,C20,C23,C24,C25,C28,C31,C34)</f>
        <v>449191008.39976978</v>
      </c>
      <c r="D37" s="203">
        <f t="shared" ref="D37:E37" si="0">SUM(D8,D12,D14,D15,D16,D20,D23,D24,D25,D28,D31,D34)</f>
        <v>961591.24000000022</v>
      </c>
      <c r="E37" s="203">
        <f t="shared" si="0"/>
        <v>448229417.15976977</v>
      </c>
    </row>
    <row r="38" spans="1:7">
      <c r="A38"/>
      <c r="B38"/>
      <c r="C38" s="659">
        <f>C37-'2. SOFP'!E36</f>
        <v>0</v>
      </c>
      <c r="D38"/>
      <c r="E38"/>
    </row>
    <row r="39" spans="1:7">
      <c r="A39"/>
      <c r="B39"/>
      <c r="C39"/>
      <c r="D39"/>
      <c r="E39"/>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70" zoomScaleNormal="70" workbookViewId="0">
      <pane xSplit="1" ySplit="4" topLeftCell="B5" activePane="bottomRight" state="frozen"/>
      <selection activeCell="B2" sqref="B2"/>
      <selection pane="topRight" activeCell="B2" sqref="B2"/>
      <selection pane="bottomLeft" activeCell="B2" sqref="B2"/>
      <selection pane="bottomRight" activeCell="C11" sqref="C11"/>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108</v>
      </c>
      <c r="B1" s="16" t="str">
        <f>Info!C2</f>
        <v>JSC "VTB Bank (Georgia)"</v>
      </c>
    </row>
    <row r="2" spans="1:6" s="21" customFormat="1" ht="15.75" customHeight="1">
      <c r="A2" s="21" t="s">
        <v>109</v>
      </c>
      <c r="B2" s="336">
        <f>Info!D2</f>
        <v>45747</v>
      </c>
      <c r="C2"/>
      <c r="D2"/>
      <c r="E2"/>
      <c r="F2"/>
    </row>
    <row r="3" spans="1:6" s="21" customFormat="1" ht="15.75" customHeight="1">
      <c r="C3"/>
      <c r="D3"/>
      <c r="E3"/>
      <c r="F3"/>
    </row>
    <row r="4" spans="1:6" s="21" customFormat="1" ht="26.25" thickBot="1">
      <c r="A4" s="21" t="s">
        <v>256</v>
      </c>
      <c r="B4" s="141" t="s">
        <v>171</v>
      </c>
      <c r="C4" s="135" t="s">
        <v>87</v>
      </c>
      <c r="D4"/>
      <c r="E4"/>
      <c r="F4"/>
    </row>
    <row r="5" spans="1:6" ht="26.25">
      <c r="A5" s="136">
        <v>1</v>
      </c>
      <c r="B5" s="137" t="s">
        <v>727</v>
      </c>
      <c r="C5" s="173">
        <f>'7. LI1'!E37</f>
        <v>448229417.15976977</v>
      </c>
    </row>
    <row r="6" spans="1:6" s="126" customFormat="1">
      <c r="A6" s="80">
        <v>2.1</v>
      </c>
      <c r="B6" s="143" t="s">
        <v>861</v>
      </c>
      <c r="C6" s="174">
        <v>208107.65764873091</v>
      </c>
    </row>
    <row r="7" spans="1:6" s="4" customFormat="1" ht="25.5" outlineLevel="1">
      <c r="A7" s="142">
        <v>2.2000000000000002</v>
      </c>
      <c r="B7" s="138" t="s">
        <v>862</v>
      </c>
      <c r="C7" s="175"/>
    </row>
    <row r="8" spans="1:6" s="4" customFormat="1" ht="26.25">
      <c r="A8" s="142">
        <v>3</v>
      </c>
      <c r="B8" s="139" t="s">
        <v>728</v>
      </c>
      <c r="C8" s="176">
        <f>SUM(C5:C7)</f>
        <v>448437524.81741852</v>
      </c>
    </row>
    <row r="9" spans="1:6" s="126" customFormat="1">
      <c r="A9" s="80">
        <v>4</v>
      </c>
      <c r="B9" s="146" t="s">
        <v>169</v>
      </c>
      <c r="C9" s="174"/>
    </row>
    <row r="10" spans="1:6" s="4" customFormat="1" ht="25.5" outlineLevel="1">
      <c r="A10" s="142">
        <v>5.0999999999999996</v>
      </c>
      <c r="B10" s="138" t="s">
        <v>175</v>
      </c>
      <c r="C10" s="175">
        <v>-94281</v>
      </c>
    </row>
    <row r="11" spans="1:6" s="4" customFormat="1" ht="25.5" outlineLevel="1">
      <c r="A11" s="142">
        <v>5.2</v>
      </c>
      <c r="B11" s="138" t="s">
        <v>176</v>
      </c>
      <c r="C11" s="175"/>
    </row>
    <row r="12" spans="1:6" s="4" customFormat="1">
      <c r="A12" s="142">
        <v>6</v>
      </c>
      <c r="B12" s="144" t="s">
        <v>438</v>
      </c>
      <c r="C12" s="244"/>
    </row>
    <row r="13" spans="1:6" s="4" customFormat="1" ht="15.75" thickBot="1">
      <c r="A13" s="145">
        <v>7</v>
      </c>
      <c r="B13" s="140" t="s">
        <v>170</v>
      </c>
      <c r="C13" s="177">
        <f>SUM(C8:C12)</f>
        <v>448343243.81741852</v>
      </c>
      <c r="D13" s="658"/>
    </row>
    <row r="15" spans="1:6" ht="26.25">
      <c r="B15" s="23" t="s">
        <v>439</v>
      </c>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15.1. LR</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2025-04-30T19:23:35Z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