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6465" tabRatio="887"/>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 r:id="rId37"/>
    <externalReference r:id="rId38"/>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B2" i="37" l="1"/>
  <c r="B1" i="37"/>
  <c r="C22" i="74"/>
  <c r="B1" i="107" l="1"/>
  <c r="D33" i="97" l="1"/>
  <c r="D20" i="96"/>
  <c r="D36" i="97"/>
  <c r="S15" i="100" l="1"/>
  <c r="D34" i="102"/>
  <c r="L38" i="101"/>
  <c r="L37" i="101"/>
  <c r="D37" i="101"/>
  <c r="C37" i="101"/>
  <c r="D36" i="101"/>
  <c r="C36" i="101"/>
  <c r="D35" i="101"/>
  <c r="D34" i="101"/>
  <c r="D33" i="101"/>
  <c r="L32" i="101"/>
  <c r="D32" i="101"/>
  <c r="D31" i="101"/>
  <c r="C31" i="101"/>
  <c r="D30" i="101"/>
  <c r="D29" i="101"/>
  <c r="D28" i="101"/>
  <c r="D27" i="101"/>
  <c r="D26" i="101"/>
  <c r="D25" i="101"/>
  <c r="D24" i="101"/>
  <c r="D23" i="101"/>
  <c r="L22" i="101"/>
  <c r="H22" i="101"/>
  <c r="L21" i="101"/>
  <c r="H21" i="101"/>
  <c r="C21" i="101"/>
  <c r="L20" i="101"/>
  <c r="L36" i="101" s="1"/>
  <c r="H20" i="101"/>
  <c r="C20" i="101"/>
  <c r="C35" i="101" s="1"/>
  <c r="L19" i="101"/>
  <c r="L35" i="101" s="1"/>
  <c r="H19" i="101"/>
  <c r="C19" i="101"/>
  <c r="C34" i="101" s="1"/>
  <c r="L18" i="101"/>
  <c r="L34" i="101" s="1"/>
  <c r="H18" i="101"/>
  <c r="C18" i="101"/>
  <c r="C33" i="101" s="1"/>
  <c r="L17" i="101"/>
  <c r="L33" i="101" s="1"/>
  <c r="H17" i="101"/>
  <c r="C17" i="101"/>
  <c r="C32" i="101" s="1"/>
  <c r="L15" i="101"/>
  <c r="L31" i="101" s="1"/>
  <c r="H15" i="101"/>
  <c r="C15" i="101"/>
  <c r="C30" i="101" s="1"/>
  <c r="L14" i="101"/>
  <c r="L30" i="101" s="1"/>
  <c r="H14" i="101"/>
  <c r="C14" i="101"/>
  <c r="C29" i="101" s="1"/>
  <c r="L13" i="101"/>
  <c r="L29" i="101" s="1"/>
  <c r="H13" i="101"/>
  <c r="C13" i="101"/>
  <c r="C28" i="101" s="1"/>
  <c r="L12" i="101"/>
  <c r="L28" i="101" s="1"/>
  <c r="H12" i="101"/>
  <c r="C12" i="101"/>
  <c r="C27" i="101" s="1"/>
  <c r="L11" i="101"/>
  <c r="L27" i="101" s="1"/>
  <c r="H11" i="101"/>
  <c r="C11" i="101"/>
  <c r="C26" i="101" s="1"/>
  <c r="L10" i="101"/>
  <c r="L26" i="101" s="1"/>
  <c r="H10" i="101"/>
  <c r="C10" i="101"/>
  <c r="C25" i="101" s="1"/>
  <c r="L9" i="101"/>
  <c r="L25" i="101" s="1"/>
  <c r="H9" i="101"/>
  <c r="C9" i="101"/>
  <c r="C24" i="101" s="1"/>
  <c r="L8" i="101"/>
  <c r="L24" i="101" s="1"/>
  <c r="H8" i="101"/>
  <c r="C8" i="101"/>
  <c r="C23" i="101" s="1"/>
  <c r="H15" i="100"/>
  <c r="G15" i="100"/>
  <c r="F15" i="100"/>
  <c r="E15" i="100"/>
  <c r="M15" i="100"/>
  <c r="N15" i="100"/>
  <c r="O15" i="100"/>
  <c r="P15" i="100"/>
  <c r="Q15" i="100"/>
  <c r="R15" i="100"/>
  <c r="C27" i="100"/>
  <c r="C26" i="100"/>
  <c r="U22" i="100"/>
  <c r="T22" i="100"/>
  <c r="S22" i="100"/>
  <c r="R22" i="100"/>
  <c r="Q22" i="100"/>
  <c r="P22" i="100"/>
  <c r="O22" i="100"/>
  <c r="N22" i="100"/>
  <c r="M22" i="100"/>
  <c r="L22" i="100"/>
  <c r="K22" i="100"/>
  <c r="J22" i="100"/>
  <c r="I22" i="100"/>
  <c r="H22" i="100"/>
  <c r="G22" i="100"/>
  <c r="F22" i="100"/>
  <c r="E22" i="100"/>
  <c r="D22" i="100"/>
  <c r="U15" i="100"/>
  <c r="T15" i="100"/>
  <c r="L15" i="100"/>
  <c r="K15" i="100"/>
  <c r="J15" i="100"/>
  <c r="I15" i="100"/>
  <c r="D15" i="100"/>
  <c r="C15" i="100"/>
  <c r="L14" i="100"/>
  <c r="H14" i="100"/>
  <c r="D14" i="100"/>
  <c r="L13" i="100"/>
  <c r="H13" i="100"/>
  <c r="D13" i="100"/>
  <c r="L12" i="100"/>
  <c r="H12" i="100"/>
  <c r="D12" i="100"/>
  <c r="D8" i="100" s="1"/>
  <c r="C12" i="100"/>
  <c r="L11" i="100"/>
  <c r="H11" i="100"/>
  <c r="D11" i="100"/>
  <c r="L10" i="100"/>
  <c r="H10" i="100"/>
  <c r="D10" i="100"/>
  <c r="L9" i="100"/>
  <c r="H9" i="100"/>
  <c r="D9" i="100"/>
  <c r="U8" i="100"/>
  <c r="T8" i="100"/>
  <c r="S8" i="100"/>
  <c r="R8" i="100"/>
  <c r="Q8" i="100"/>
  <c r="P8" i="100"/>
  <c r="O8" i="100"/>
  <c r="N8" i="100"/>
  <c r="M8" i="100"/>
  <c r="K8" i="100"/>
  <c r="J8" i="100"/>
  <c r="I8" i="100"/>
  <c r="G8" i="100"/>
  <c r="F8" i="100"/>
  <c r="E8" i="100"/>
  <c r="C10" i="99"/>
  <c r="C18" i="99" s="1"/>
  <c r="C19" i="99" s="1"/>
  <c r="E36" i="97"/>
  <c r="C36" i="97"/>
  <c r="C35" i="97"/>
  <c r="D34" i="97"/>
  <c r="F34" i="97"/>
  <c r="E34" i="97"/>
  <c r="E35" i="97" s="1"/>
  <c r="C34" i="97"/>
  <c r="L23" i="101" l="1"/>
  <c r="C34" i="102"/>
  <c r="C22" i="100"/>
  <c r="L8" i="100"/>
  <c r="F34" i="102" s="1"/>
  <c r="H8" i="100"/>
  <c r="C13" i="100"/>
  <c r="D4" i="100"/>
  <c r="D3" i="100"/>
  <c r="C14" i="100"/>
  <c r="E24" i="96"/>
  <c r="D21" i="96"/>
  <c r="D35" i="97" s="1"/>
  <c r="D24" i="96"/>
  <c r="C25" i="96"/>
  <c r="C24" i="96"/>
  <c r="G21" i="96"/>
  <c r="F21" i="96"/>
  <c r="E21" i="96"/>
  <c r="C21" i="96"/>
  <c r="H23" i="101" l="1"/>
  <c r="E34" i="102"/>
  <c r="C8" i="100"/>
  <c r="C3" i="100" s="1"/>
  <c r="C4" i="100" l="1"/>
  <c r="C31" i="79" l="1"/>
  <c r="C8" i="79"/>
  <c r="D13" i="79" l="1"/>
  <c r="D11" i="79"/>
  <c r="D10" i="79"/>
  <c r="H9" i="74"/>
  <c r="H10" i="74"/>
  <c r="H11" i="74"/>
  <c r="H12" i="74"/>
  <c r="H13" i="74"/>
  <c r="H14" i="74"/>
  <c r="H15" i="74"/>
  <c r="H16" i="74"/>
  <c r="H17" i="74"/>
  <c r="H18" i="74"/>
  <c r="H19" i="74"/>
  <c r="H20" i="74"/>
  <c r="H21" i="74"/>
  <c r="H8" i="74"/>
  <c r="C66" i="69"/>
  <c r="C65" i="69"/>
  <c r="C64" i="69"/>
  <c r="C63" i="69"/>
  <c r="C62" i="69" s="1"/>
  <c r="C60" i="69"/>
  <c r="C58" i="69"/>
  <c r="C57" i="69"/>
  <c r="C56" i="69"/>
  <c r="C55" i="69"/>
  <c r="C67" i="69" s="1"/>
  <c r="C68" i="69" s="1"/>
  <c r="C54" i="69"/>
  <c r="C51" i="69"/>
  <c r="C50" i="69"/>
  <c r="C49" i="69"/>
  <c r="C48" i="69"/>
  <c r="C47" i="69"/>
  <c r="C46" i="69"/>
  <c r="C45" i="69"/>
  <c r="C41" i="69"/>
  <c r="C33" i="69"/>
  <c r="C32" i="69"/>
  <c r="C31" i="69"/>
  <c r="C30" i="69"/>
  <c r="C28" i="69"/>
  <c r="C26" i="69" s="1"/>
  <c r="C25" i="69"/>
  <c r="C24" i="69"/>
  <c r="C23" i="69" s="1"/>
  <c r="C20" i="69"/>
  <c r="C19" i="69"/>
  <c r="C17" i="69"/>
  <c r="C16" i="69"/>
  <c r="C15" i="69"/>
  <c r="C9" i="69"/>
  <c r="C8" i="69"/>
  <c r="C7" i="69"/>
  <c r="C6" i="69" s="1"/>
  <c r="C40" i="69"/>
  <c r="C52" i="69" s="1"/>
  <c r="C29" i="69"/>
  <c r="C18" i="69"/>
  <c r="C14" i="69"/>
  <c r="C48" i="28"/>
  <c r="C44" i="28"/>
  <c r="C36" i="28"/>
  <c r="C32" i="28"/>
  <c r="C31" i="28" s="1"/>
  <c r="C42" i="28" s="1"/>
  <c r="C12" i="28"/>
  <c r="C53" i="28"/>
  <c r="C35" i="69" l="1"/>
  <c r="G14" i="71" l="1"/>
  <c r="F14" i="71"/>
  <c r="E14" i="71"/>
  <c r="D14" i="71"/>
  <c r="C11" i="94" l="1"/>
  <c r="D11" i="94"/>
  <c r="C14" i="94"/>
  <c r="D14" i="94"/>
  <c r="C30" i="94"/>
  <c r="D30" i="94"/>
  <c r="C38" i="94"/>
  <c r="D38" i="94"/>
  <c r="G69" i="92" l="1"/>
  <c r="F69" i="92"/>
  <c r="E70" i="92"/>
  <c r="Q33" i="37" l="1"/>
  <c r="I33" i="37"/>
  <c r="Q32" i="37"/>
  <c r="I32" i="37"/>
  <c r="Q31" i="37"/>
  <c r="I31" i="37"/>
  <c r="I30" i="37"/>
  <c r="Q29" i="37"/>
  <c r="I29" i="37"/>
  <c r="Q28" i="37"/>
  <c r="I28" i="37"/>
  <c r="Q27" i="37"/>
  <c r="Q26" i="37" s="1"/>
  <c r="I27" i="37"/>
  <c r="I26" i="37"/>
  <c r="Q25" i="37"/>
  <c r="I25" i="37"/>
  <c r="Q24" i="37"/>
  <c r="I24" i="37"/>
  <c r="Q23" i="37"/>
  <c r="I23" i="37"/>
  <c r="I22" i="37"/>
  <c r="Q21" i="37"/>
  <c r="I21" i="37"/>
  <c r="Q20" i="37"/>
  <c r="I20" i="37"/>
  <c r="Q19" i="37"/>
  <c r="I19" i="37"/>
  <c r="I18" i="37"/>
  <c r="Q17" i="37"/>
  <c r="I17" i="37"/>
  <c r="Q16" i="37"/>
  <c r="I16" i="37"/>
  <c r="Q15" i="37"/>
  <c r="Q14" i="37" s="1"/>
  <c r="I15" i="37"/>
  <c r="I14" i="37"/>
  <c r="Q13" i="37"/>
  <c r="I13" i="37"/>
  <c r="Q12" i="37"/>
  <c r="I12" i="37"/>
  <c r="Q11" i="37"/>
  <c r="I11" i="37"/>
  <c r="I10" i="37"/>
  <c r="P9" i="37"/>
  <c r="O9" i="37"/>
  <c r="N9" i="37"/>
  <c r="M9" i="37"/>
  <c r="L9" i="37"/>
  <c r="K9" i="37"/>
  <c r="J9" i="37"/>
  <c r="G9" i="37"/>
  <c r="F9" i="37"/>
  <c r="I9" i="37" s="1"/>
  <c r="C9" i="37"/>
  <c r="P8" i="37"/>
  <c r="O8" i="37"/>
  <c r="N8" i="37"/>
  <c r="M8" i="37"/>
  <c r="L8" i="37"/>
  <c r="K8" i="37"/>
  <c r="K6" i="37" s="1"/>
  <c r="K34" i="37" s="1"/>
  <c r="J8" i="37"/>
  <c r="G8" i="37"/>
  <c r="F8" i="37"/>
  <c r="C8" i="37"/>
  <c r="P7" i="37"/>
  <c r="O7" i="37"/>
  <c r="O6" i="37" s="1"/>
  <c r="O34" i="37" s="1"/>
  <c r="N7" i="37"/>
  <c r="N6" i="37" s="1"/>
  <c r="N34" i="37" s="1"/>
  <c r="M7" i="37"/>
  <c r="M6" i="37" s="1"/>
  <c r="M34" i="37" s="1"/>
  <c r="L7" i="37"/>
  <c r="K7" i="37"/>
  <c r="J7" i="37"/>
  <c r="J6" i="37" s="1"/>
  <c r="J34" i="37" s="1"/>
  <c r="G7" i="37"/>
  <c r="F7" i="37"/>
  <c r="F6" i="37" s="1"/>
  <c r="F34" i="37" s="1"/>
  <c r="C7" i="37"/>
  <c r="P6" i="37"/>
  <c r="P34" i="37" s="1"/>
  <c r="L6" i="37"/>
  <c r="L34" i="37" s="1"/>
  <c r="G6" i="37"/>
  <c r="G34" i="37" s="1"/>
  <c r="E6" i="37"/>
  <c r="E34" i="37" s="1"/>
  <c r="D6" i="37"/>
  <c r="D34" i="37" s="1"/>
  <c r="C26" i="79"/>
  <c r="C22" i="79"/>
  <c r="I7" i="37" l="1"/>
  <c r="I8" i="37"/>
  <c r="I34" i="37"/>
  <c r="C12" i="79" s="1"/>
  <c r="C14" i="79" s="1"/>
  <c r="C32" i="79" s="1"/>
  <c r="C34" i="79" s="1"/>
  <c r="C6" i="37"/>
  <c r="C34" i="37" s="1"/>
  <c r="Q22" i="37"/>
  <c r="Q9" i="37"/>
  <c r="Q30" i="37"/>
  <c r="Q18" i="37"/>
  <c r="Q10" i="37"/>
  <c r="Q8" i="37"/>
  <c r="Q7" i="37"/>
  <c r="Q6" i="37" s="1"/>
  <c r="Q34" i="37" s="1"/>
  <c r="I6" i="37" l="1"/>
  <c r="F6" i="107"/>
  <c r="E6" i="107"/>
  <c r="D6" i="107"/>
  <c r="C6" i="107"/>
  <c r="B2" i="107"/>
  <c r="B19" i="105" l="1"/>
  <c r="E12" i="106"/>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7" i="98" l="1"/>
  <c r="C15" i="98" s="1"/>
  <c r="C16" i="98" s="1"/>
  <c r="D7" i="98"/>
  <c r="C10" i="98"/>
  <c r="D10" i="98"/>
  <c r="D15" i="98" s="1"/>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H34" i="97"/>
  <c r="H35" i="97" s="1"/>
  <c r="G34" i="97"/>
  <c r="H7" i="96"/>
  <c r="H8" i="96"/>
  <c r="H9" i="96"/>
  <c r="H10" i="96"/>
  <c r="H11" i="96"/>
  <c r="H12" i="96"/>
  <c r="H13" i="96"/>
  <c r="H14" i="96"/>
  <c r="H15" i="96"/>
  <c r="H16" i="96"/>
  <c r="H17" i="96"/>
  <c r="H18" i="96"/>
  <c r="H19" i="96"/>
  <c r="H20" i="96"/>
  <c r="H22" i="96"/>
  <c r="H25" i="96" s="1"/>
  <c r="H23" i="96"/>
  <c r="H8" i="95"/>
  <c r="H9" i="95"/>
  <c r="H10" i="95"/>
  <c r="H11" i="95"/>
  <c r="H12" i="95"/>
  <c r="H13" i="95"/>
  <c r="H14" i="95"/>
  <c r="H15" i="95"/>
  <c r="H16" i="95"/>
  <c r="H17" i="95"/>
  <c r="H18" i="95"/>
  <c r="H19" i="95"/>
  <c r="H20" i="95"/>
  <c r="D22" i="95"/>
  <c r="E22" i="95"/>
  <c r="F22" i="95"/>
  <c r="G22" i="95"/>
  <c r="H21" i="96" l="1"/>
  <c r="H24" i="96" s="1"/>
  <c r="H22" i="95"/>
  <c r="E37" i="72"/>
  <c r="C37" i="72"/>
  <c r="D37" i="72" l="1"/>
  <c r="H43" i="94"/>
  <c r="E43" i="94"/>
  <c r="H42" i="94"/>
  <c r="E42" i="94"/>
  <c r="H41" i="94"/>
  <c r="E41" i="94"/>
  <c r="H40" i="94"/>
  <c r="E40" i="94"/>
  <c r="H39" i="94"/>
  <c r="E39" i="94"/>
  <c r="E38" i="94"/>
  <c r="H37" i="94"/>
  <c r="E37" i="94"/>
  <c r="H36" i="94"/>
  <c r="E36" i="94"/>
  <c r="H35" i="94"/>
  <c r="E35" i="94"/>
  <c r="H34" i="94"/>
  <c r="E34" i="94"/>
  <c r="H33" i="94"/>
  <c r="E33" i="94"/>
  <c r="H32" i="94"/>
  <c r="E32" i="94"/>
  <c r="H31" i="94"/>
  <c r="E31" i="94"/>
  <c r="H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H16" i="94"/>
  <c r="E16" i="94"/>
  <c r="H15" i="94"/>
  <c r="E15" i="94"/>
  <c r="H13" i="94"/>
  <c r="E13" i="94"/>
  <c r="H12" i="94"/>
  <c r="E12" i="94"/>
  <c r="H10" i="94"/>
  <c r="E10" i="94"/>
  <c r="H9" i="94"/>
  <c r="E9" i="94"/>
  <c r="H7" i="94"/>
  <c r="E7" i="94"/>
  <c r="H6" i="94"/>
  <c r="E6" i="94"/>
  <c r="H44" i="93"/>
  <c r="E44" i="93"/>
  <c r="H42" i="93"/>
  <c r="E42" i="93"/>
  <c r="H41" i="93"/>
  <c r="E41" i="93"/>
  <c r="H40" i="93"/>
  <c r="E40" i="93"/>
  <c r="H39" i="93"/>
  <c r="E39" i="93"/>
  <c r="H38" i="93"/>
  <c r="E38" i="93"/>
  <c r="H37" i="93"/>
  <c r="E37" i="93"/>
  <c r="H36" i="93"/>
  <c r="E36" i="93"/>
  <c r="H35" i="93"/>
  <c r="E35" i="93"/>
  <c r="H34" i="93"/>
  <c r="E34" i="93"/>
  <c r="H33" i="93"/>
  <c r="E33" i="93"/>
  <c r="H32" i="93"/>
  <c r="E32" i="93"/>
  <c r="H31" i="93"/>
  <c r="E31" i="93"/>
  <c r="H30" i="93"/>
  <c r="E30" i="93"/>
  <c r="H29" i="93"/>
  <c r="E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E13" i="93"/>
  <c r="H12" i="93"/>
  <c r="E12" i="93"/>
  <c r="H11" i="93"/>
  <c r="E11" i="93"/>
  <c r="H10" i="93"/>
  <c r="E10" i="93"/>
  <c r="H9" i="93"/>
  <c r="E9" i="93"/>
  <c r="H8" i="93"/>
  <c r="E8" i="93"/>
  <c r="H7" i="93"/>
  <c r="E7" i="93"/>
  <c r="E6" i="93"/>
  <c r="H67" i="92"/>
  <c r="E67" i="92"/>
  <c r="H66" i="92"/>
  <c r="E66" i="92"/>
  <c r="H65" i="92"/>
  <c r="E65" i="92"/>
  <c r="H64" i="92"/>
  <c r="E64" i="92"/>
  <c r="H63" i="92"/>
  <c r="H62" i="92"/>
  <c r="E62" i="92"/>
  <c r="H61" i="92"/>
  <c r="E61" i="92"/>
  <c r="H60" i="92"/>
  <c r="E60" i="92"/>
  <c r="H59" i="92"/>
  <c r="H58" i="92"/>
  <c r="E58" i="92"/>
  <c r="H57" i="92"/>
  <c r="E57" i="92"/>
  <c r="H56" i="92"/>
  <c r="E56" i="92"/>
  <c r="H55" i="92"/>
  <c r="E55" i="92"/>
  <c r="H52" i="92"/>
  <c r="E52" i="92"/>
  <c r="H51" i="92"/>
  <c r="E51" i="92"/>
  <c r="H50" i="92"/>
  <c r="E50" i="92"/>
  <c r="H49" i="92"/>
  <c r="E49" i="92"/>
  <c r="H48" i="92"/>
  <c r="E48" i="92"/>
  <c r="H46" i="92"/>
  <c r="E46" i="92"/>
  <c r="H45" i="92"/>
  <c r="E45" i="92"/>
  <c r="H44" i="92"/>
  <c r="E44" i="92"/>
  <c r="H43" i="92"/>
  <c r="E43" i="92"/>
  <c r="H42" i="92"/>
  <c r="E42" i="92"/>
  <c r="H41" i="92"/>
  <c r="H40" i="92"/>
  <c r="E40" i="92"/>
  <c r="H39" i="92"/>
  <c r="E39" i="92"/>
  <c r="H38" i="92"/>
  <c r="E38" i="92"/>
  <c r="H35" i="92"/>
  <c r="E35" i="92"/>
  <c r="H34" i="92"/>
  <c r="E34" i="92"/>
  <c r="H33" i="92"/>
  <c r="E33" i="92"/>
  <c r="H32" i="92"/>
  <c r="E32" i="92"/>
  <c r="H31" i="92"/>
  <c r="E31" i="92"/>
  <c r="H29" i="92"/>
  <c r="E29" i="92"/>
  <c r="H28" i="92"/>
  <c r="E28" i="92"/>
  <c r="H27" i="92"/>
  <c r="E27" i="92"/>
  <c r="H26" i="92"/>
  <c r="E26" i="92"/>
  <c r="H25" i="92"/>
  <c r="E25" i="92"/>
  <c r="E24" i="92"/>
  <c r="H23" i="92"/>
  <c r="E23" i="92"/>
  <c r="H22" i="92"/>
  <c r="E22" i="92"/>
  <c r="H21" i="92"/>
  <c r="E21" i="92"/>
  <c r="H20" i="92"/>
  <c r="E20" i="92"/>
  <c r="H19" i="92"/>
  <c r="H18" i="92"/>
  <c r="E18" i="92"/>
  <c r="H17" i="92"/>
  <c r="E17" i="92"/>
  <c r="H16" i="92"/>
  <c r="E16" i="92"/>
  <c r="H15" i="92"/>
  <c r="E15" i="92"/>
  <c r="H14" i="92"/>
  <c r="E14" i="92"/>
  <c r="H13" i="92"/>
  <c r="E13" i="92"/>
  <c r="H12" i="92"/>
  <c r="E12" i="92"/>
  <c r="H11" i="92"/>
  <c r="E11" i="92"/>
  <c r="H10" i="92"/>
  <c r="E10" i="92"/>
  <c r="H9" i="92"/>
  <c r="E9" i="92"/>
  <c r="H8" i="92"/>
  <c r="E8" i="92"/>
  <c r="H7" i="92"/>
  <c r="E36" i="92" l="1"/>
  <c r="E41" i="92"/>
  <c r="H47" i="92"/>
  <c r="E30" i="92"/>
  <c r="E68" i="92"/>
  <c r="H36" i="92"/>
  <c r="E19" i="92"/>
  <c r="H30" i="92"/>
  <c r="E47" i="92"/>
  <c r="E59" i="92"/>
  <c r="E63" i="92"/>
  <c r="H45" i="93"/>
  <c r="H8" i="94"/>
  <c r="E8" i="94"/>
  <c r="E14" i="94"/>
  <c r="H38" i="94"/>
  <c r="E30" i="94"/>
  <c r="E11" i="94"/>
  <c r="E17" i="94"/>
  <c r="H11" i="94"/>
  <c r="H14" i="94"/>
  <c r="H6" i="93"/>
  <c r="D69" i="92"/>
  <c r="H69" i="92"/>
  <c r="H68" i="92"/>
  <c r="H53" i="92"/>
  <c r="E7" i="92"/>
  <c r="H24" i="92"/>
  <c r="H70" i="92" l="1"/>
  <c r="H43" i="93"/>
  <c r="E45" i="93"/>
  <c r="E43" i="93"/>
  <c r="C69" i="92"/>
  <c r="E69" i="92" s="1"/>
  <c r="E53" i="92"/>
  <c r="B1" i="80" l="1"/>
  <c r="G39" i="80" l="1"/>
  <c r="G6" i="71"/>
  <c r="G13" i="71" s="1"/>
  <c r="F6" i="71"/>
  <c r="F13" i="71" s="1"/>
  <c r="E6" i="71"/>
  <c r="E13" i="71" s="1"/>
  <c r="D6" i="71"/>
  <c r="D13" i="71" s="1"/>
  <c r="C6" i="71"/>
  <c r="C13" i="71" s="1"/>
  <c r="C14" i="71" l="1"/>
  <c r="B1" i="79"/>
  <c r="B1" i="36"/>
  <c r="B1" i="74"/>
  <c r="B1" i="64"/>
  <c r="B1" i="35"/>
  <c r="B1" i="69"/>
  <c r="B1" i="77"/>
  <c r="B1" i="28"/>
  <c r="B1" i="73"/>
  <c r="B1" i="72"/>
  <c r="B1" i="52"/>
  <c r="B1" i="71"/>
  <c r="B1" i="6"/>
  <c r="C21" i="77" l="1"/>
  <c r="D16" i="77"/>
  <c r="D17" i="77"/>
  <c r="D15" i="77"/>
  <c r="D12" i="77"/>
  <c r="D13" i="77"/>
  <c r="D11" i="77"/>
  <c r="D8" i="77"/>
  <c r="D9" i="77"/>
  <c r="D7" i="77"/>
  <c r="C20" i="77"/>
  <c r="C19" i="77"/>
  <c r="D21" i="77" l="1"/>
  <c r="D19" i="77"/>
  <c r="D20" i="77"/>
  <c r="C5" i="73" l="1"/>
  <c r="S21" i="35" l="1"/>
  <c r="S20" i="35"/>
  <c r="S19" i="35"/>
  <c r="S18" i="35"/>
  <c r="S17" i="35"/>
  <c r="S16" i="35"/>
  <c r="S15" i="35"/>
  <c r="S14" i="35"/>
  <c r="S13" i="35"/>
  <c r="S12" i="35"/>
  <c r="S11" i="35"/>
  <c r="S10" i="35"/>
  <c r="S9" i="35"/>
  <c r="S8" i="35"/>
  <c r="S22" i="35" l="1"/>
  <c r="S23" i="35" s="1"/>
  <c r="D22" i="35" l="1"/>
  <c r="E22" i="35"/>
  <c r="F22" i="35"/>
  <c r="G22" i="35"/>
  <c r="H22" i="35"/>
  <c r="I22" i="35"/>
  <c r="J22" i="35"/>
  <c r="K22" i="35"/>
  <c r="L22" i="35"/>
  <c r="M22" i="35"/>
  <c r="N22" i="35"/>
  <c r="O22" i="35"/>
  <c r="P22" i="35"/>
  <c r="Q22" i="35"/>
  <c r="R22" i="35"/>
  <c r="C22" i="35"/>
  <c r="G22" i="74" l="1"/>
  <c r="F22" i="74"/>
  <c r="V7" i="64" l="1"/>
  <c r="T21" i="64" l="1"/>
  <c r="U21" i="64"/>
  <c r="V9" i="64"/>
  <c r="D22" i="74" l="1"/>
  <c r="E22" i="74"/>
  <c r="H22" i="74" s="1"/>
  <c r="C8" i="73" l="1"/>
  <c r="C13" i="73"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6" i="28" l="1"/>
  <c r="C29" i="28" l="1"/>
  <c r="B7" i="105" s="1"/>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6" i="105" l="1"/>
  <c r="B21" i="105" s="1"/>
  <c r="B16" i="105"/>
  <c r="B14" i="105" s="1"/>
  <c r="C5" i="71"/>
  <c r="E5" i="71"/>
  <c r="F5" i="71"/>
  <c r="D5" i="71"/>
  <c r="B23" i="105" l="1"/>
  <c r="B22" i="105"/>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<sst xmlns="http://schemas.openxmlformats.org/spreadsheetml/2006/main" count="1646" uniqueCount="1028">
  <si>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</si>
  <si>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</si>
  <si>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</si>
  <si>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</si>
  <si>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</si>
  <si>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</si>
  <si>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</si>
  <si>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</si>
  <si>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</si>
  <si>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</si>
  <si>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</si>
  <si>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</si>
  <si>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</si>
  <si>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</si>
  <si>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</si>
  <si>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</si>
  <si>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</si>
  <si>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</si>
  <si>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</si>
  <si>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</si>
  <si>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</si>
  <si>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</si>
  <si>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</si>
  <si>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</si>
  <si>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</si>
  <si>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</si>
  <si>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</si>
  <si>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</si>
  <si>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</si>
  <si>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</si>
  <si>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</si>
  <si>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</si>
  <si>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</si>
  <si>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</si>
  <si>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</si>
  <si>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</si>
  <si>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</si>
  <si>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</si>
  <si>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</si>
  <si>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</si>
  <si>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</si>
  <si>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</si>
  <si>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</si>
  <si>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</si>
  <si>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</si>
  <si>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</si>
  <si>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</si>
  <si>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</si>
  <si>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</si>
  <si>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</si>
  <si>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</si>
  <si>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</si>
  <si>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</si>
  <si>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</si>
  <si>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</si>
  <si>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</si>
  <si>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</si>
  <si>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</si>
  <si>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</si>
  <si>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</si>
  <si>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</si>
  <si>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</si>
  <si>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</si>
  <si>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</si>
  <si>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</si>
  <si>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</si>
  <si>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</si>
  <si>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</si>
  <si>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</si>
  <si>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</si>
  <si>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</si>
  <si>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</si>
  <si>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</si>
  <si>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</si>
  <si>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</si>
  <si>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</si>
  <si>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</si>
  <si>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</si>
  <si>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</si>
  <si>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</si>
  <si>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</si>
  <si>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</si>
  <si>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</si>
  <si>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</si>
  <si>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</si>
  <si>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</si>
  <si>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</si>
  <si>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</si>
  <si>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</si>
  <si>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</si>
  <si>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</si>
  <si>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</si>
  <si>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</si>
  <si>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</si>
  <si>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</si>
  <si>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</si>
  <si>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</si>
  <si>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</si>
  <si>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</si>
  <si>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</si>
  <si>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</si>
  <si>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</si>
  <si>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</si>
  <si>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</si>
  <si>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</si>
  <si>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</si>
  <si>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</si>
  <si>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</si>
  <si>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</si>
  <si>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</si>
  <si>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</si>
  <si>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</si>
  <si>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</si>
  <si>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</si>
  <si>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</si>
  <si>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</si>
  <si>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</si>
  <si>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</si>
  <si>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</si>
  <si>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</si>
  <si>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</si>
  <si>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</si>
  <si>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</si>
  <si>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</si>
  <si>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</si>
  <si>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</si>
  <si>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</si>
  <si>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</si>
  <si>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</si>
  <si>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</si>
  <si>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</si>
  <si>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</si>
  <si>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</si>
  <si>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</si>
  <si>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</si>
  <si>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</si>
  <si>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</si>
  <si>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</si>
  <si>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</si>
  <si>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</si>
  <si>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</si>
  <si>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</si>
  <si>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</si>
  <si>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</si>
  <si>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</si>
  <si>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</si>
  <si>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</si>
  <si>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</si>
  <si>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</si>
  <si>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</si>
  <si>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</si>
  <si>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</si>
  <si>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</si>
  <si>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</si>
  <si>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</si>
  <si>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</si>
  <si>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</si>
  <si>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</si>
  <si>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</si>
  <si>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</si>
  <si>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</si>
  <si>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</si>
  <si>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</si>
  <si>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</si>
  <si>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</si>
  <si>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</si>
  <si>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</si>
  <si>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</si>
  <si>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</si>
  <si>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</si>
  <si>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</si>
  <si>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</si>
  <si>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</si>
  <si>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</si>
  <si>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</si>
  <si>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</si>
  <si>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</si>
  <si>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</si>
  <si>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</si>
  <si>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</si>
  <si>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</si>
  <si>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</si>
  <si>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</si>
  <si>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</si>
  <si>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</si>
  <si>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</si>
  <si>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</si>
  <si>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</si>
  <si>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</si>
  <si>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</si>
  <si>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</si>
  <si>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</si>
  <si>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</si>
  <si>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</si>
  <si>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</si>
  <si>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</si>
  <si>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</si>
  <si>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</si>
  <si>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</si>
  <si>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</si>
  <si>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</si>
  <si>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</si>
  <si>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</si>
  <si>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</si>
  <si>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</si>
  <si>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</si>
  <si>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</si>
  <si>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</si>
  <si>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</si>
  <si>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</si>
  <si>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</si>
  <si>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</si>
  <si>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</si>
  <si>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</si>
  <si>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</si>
  <si>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</si>
  <si>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</si>
  <si>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</si>
  <si>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</si>
  <si>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</si>
  <si>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</si>
  <si>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</si>
  <si>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</si>
  <si>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</si>
  <si>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</si>
  <si>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</si>
  <si>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</si>
  <si>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</si>
  <si>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</si>
  <si>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</si>
  <si>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</si>
  <si>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</si>
  <si>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</si>
  <si>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</si>
  <si>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</si>
  <si>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</si>
  <si>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</si>
  <si>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</si>
  <si>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</si>
  <si>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</si>
  <si>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</si>
  <si>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</si>
  <si>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</si>
  <si>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</si>
  <si>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</si>
  <si>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</si>
  <si>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</si>
  <si>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</si>
  <si>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</si>
  <si>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</si>
  <si>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</si>
  <si>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</si>
  <si>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</si>
  <si>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</si>
  <si>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</si>
  <si>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</si>
  <si>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</si>
  <si>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</si>
  <si>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</si>
  <si>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</si>
  <si>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</si>
  <si>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</si>
  <si>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</si>
  <si>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</si>
  <si>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</si>
  <si>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</si>
  <si>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</si>
  <si>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</si>
  <si>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</si>
  <si>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</si>
  <si>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</si>
  <si>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</si>
  <si>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</si>
  <si>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</si>
  <si>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</si>
  <si>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</si>
  <si>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</si>
  <si>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</si>
  <si>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</si>
  <si>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</si>
  <si>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</si>
  <si>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</si>
  <si>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</si>
  <si>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</si>
  <si>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</si>
  <si>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</si>
  <si>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</si>
  <si>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</si>
  <si>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</si>
  <si>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</si>
  <si>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</si>
  <si>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</si>
  <si>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</si>
  <si>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</si>
  <si>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</si>
  <si>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</si>
  <si>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</si>
  <si>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</si>
  <si>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</si>
  <si>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</si>
  <si>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</si>
  <si>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</si>
  <si>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</si>
  <si>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</si>
  <si>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</si>
  <si>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</si>
  <si>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</si>
  <si>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</si>
  <si>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</si>
  <si>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</si>
  <si>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</si>
  <si>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</si>
  <si>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</si>
  <si>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</si>
  <si>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</si>
  <si>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</si>
  <si>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</si>
  <si>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</si>
  <si>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</si>
  <si>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</si>
  <si>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</si>
  <si>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</si>
  <si>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</si>
  <si>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</si>
  <si>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</si>
  <si>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</si>
  <si>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</si>
  <si>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</si>
  <si>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</si>
  <si>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</si>
  <si>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</si>
  <si>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</si>
  <si>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</si>
  <si>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</si>
  <si>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</si>
  <si>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</si>
  <si>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</si>
  <si>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</si>
  <si>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</si>
  <si>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</si>
  <si>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</si>
  <si>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</si>
  <si>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</si>
  <si>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</si>
  <si>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</si>
  <si>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</si>
  <si>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</si>
  <si>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</si>
  <si>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</si>
  <si>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</si>
  <si>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</si>
  <si>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</si>
  <si>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</si>
  <si>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</si>
  <si>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</si>
  <si>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</si>
  <si>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</si>
  <si>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</si>
  <si>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</si>
  <si>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</si>
  <si>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</si>
  <si>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</si>
  <si>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</si>
  <si>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</si>
  <si>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</si>
  <si>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</si>
  <si>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</si>
  <si>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</si>
  <si>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</si>
  <si>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</si>
  <si>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</si>
  <si>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</si>
  <si>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</si>
  <si>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</si>
  <si>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</si>
  <si>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</si>
  <si>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</si>
  <si>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</si>
  <si>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</si>
  <si>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</si>
  <si>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</si>
  <si>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</si>
  <si>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</si>
  <si>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</si>
  <si>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</si>
  <si>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</si>
  <si>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</si>
  <si>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</si>
  <si>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</si>
  <si>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</si>
  <si>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</si>
  <si>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</si>
  <si>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</si>
  <si>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</si>
  <si>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</si>
  <si>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</si>
  <si>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</si>
  <si>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</si>
  <si>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</si>
  <si>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</si>
  <si>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</si>
  <si>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</si>
  <si>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</si>
  <si>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</si>
  <si>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</si>
  <si>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</si>
  <si>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</si>
  <si>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</si>
  <si>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</si>
  <si>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</si>
  <si>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</si>
  <si>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</si>
  <si>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</si>
  <si>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</si>
  <si>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</si>
  <si>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</si>
  <si>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</si>
  <si>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</si>
  <si>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</si>
  <si>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</si>
  <si>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</si>
  <si>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</si>
  <si>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</si>
  <si>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</si>
  <si>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</si>
  <si>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</si>
  <si>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</si>
  <si>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</si>
  <si>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</si>
  <si>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</si>
  <si>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</si>
  <si>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</si>
  <si>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</si>
  <si>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</si>
  <si>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</si>
  <si>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</si>
  <si>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</si>
  <si>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</si>
  <si>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</si>
  <si>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</si>
  <si>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</si>
  <si>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</si>
  <si>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</si>
  <si>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</si>
  <si>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</si>
  <si>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</si>
  <si>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</si>
  <si>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</si>
  <si>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</si>
  <si>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</si>
  <si>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</si>
  <si>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</si>
  <si>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</si>
  <si>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</si>
  <si>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</si>
  <si>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</si>
  <si>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</si>
  <si>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</si>
  <si>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</si>
  <si>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</si>
  <si>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</si>
  <si>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</si>
  <si>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</si>
  <si>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</si>
  <si>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</si>
  <si>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</si>
  <si>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</si>
  <si>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</si>
  <si>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</si>
  <si>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</si>
  <si>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</si>
  <si>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</si>
  <si>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</si>
  <si>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</si>
  <si>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</si>
  <si>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</si>
  <si>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</si>
  <si>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</si>
  <si>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</si>
  <si>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</si>
  <si>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</si>
  <si>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</si>
  <si>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</si>
  <si>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</si>
  <si>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</si>
  <si>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</si>
  <si>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</si>
  <si>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</si>
  <si>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</si>
  <si>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</si>
  <si>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</si>
  <si>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</si>
  <si>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</si>
  <si>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</si>
  <si>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</si>
  <si>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</si>
  <si>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</si>
  <si>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</si>
  <si>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</si>
  <si>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</si>
  <si>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</si>
  <si>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</si>
  <si>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</si>
  <si>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</si>
  <si>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</si>
  <si>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</si>
  <si>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</si>
  <si>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</si>
  <si>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</si>
  <si>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</si>
  <si>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</si>
  <si>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</si>
  <si>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</si>
  <si>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</si>
  <si>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</si>
  <si>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</si>
  <si>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</si>
  <si>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</si>
  <si>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</si>
  <si>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</si>
  <si>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</si>
  <si>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</si>
  <si>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</si>
  <si>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</si>
  <si>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</si>
  <si>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</si>
  <si>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</si>
  <si>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</si>
  <si>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</si>
  <si>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</si>
  <si>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</si>
  <si>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</si>
  <si>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</si>
  <si>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</si>
  <si>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</si>
  <si>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</si>
  <si>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</si>
  <si>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</si>
  <si>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</si>
  <si>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</si>
  <si>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</si>
  <si>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</si>
  <si>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</si>
  <si>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</si>
  <si>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</si>
  <si>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</si>
  <si>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</si>
  <si>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</si>
  <si>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</si>
  <si>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</si>
  <si>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</si>
  <si>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</si>
  <si>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</si>
  <si>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</si>
  <si>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</si>
  <si>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</si>
  <si>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</si>
  <si>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</si>
  <si>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</si>
  <si>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</si>
  <si>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</si>
  <si>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</si>
  <si>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</si>
  <si>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</si>
  <si>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</si>
  <si>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</si>
  <si>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</si>
  <si>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</si>
  <si>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</si>
  <si>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</si>
  <si>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</si>
  <si>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</si>
  <si>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</si>
  <si>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</si>
  <si>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</si>
  <si>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</si>
  <si>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</si>
  <si>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</si>
  <si>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</si>
  <si>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</si>
  <si>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</si>
  <si>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</si>
  <si>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</si>
  <si>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</si>
  <si>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</si>
  <si>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</si>
  <si>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</si>
  <si>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</si>
  <si>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</si>
  <si>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</si>
  <si>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</si>
  <si>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</si>
  <si>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</si>
  <si>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</si>
  <si>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</si>
  <si>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</si>
  <si>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</si>
  <si>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</si>
  <si>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</si>
  <si>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</si>
  <si>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</si>
  <si>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</si>
  <si>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</si>
  <si>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</si>
  <si>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</si>
  <si>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</si>
  <si>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</si>
  <si>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</si>
  <si>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</si>
  <si>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</si>
  <si>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</si>
  <si>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</si>
  <si>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</si>
  <si>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</si>
  <si>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</si>
  <si>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</si>
  <si>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</si>
  <si>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</si>
  <si>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</si>
  <si>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</si>
  <si>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</si>
  <si>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</si>
  <si>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</si>
  <si>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</si>
  <si>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</si>
  <si>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</si>
  <si>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</si>
  <si>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</si>
  <si>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</si>
  <si>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</si>
  <si>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</si>
  <si>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</si>
  <si>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</si>
  <si>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</si>
  <si>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</si>
  <si>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</si>
  <si>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</si>
  <si>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</si>
  <si>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</si>
  <si>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</si>
  <si>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</si>
  <si>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</si>
  <si>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</si>
  <si>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</si>
  <si>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</si>
  <si>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</si>
  <si>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</si>
  <si>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</si>
  <si>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</si>
  <si>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</si>
  <si>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</si>
  <si>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</si>
  <si>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</si>
  <si>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</si>
  <si>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</si>
  <si>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</si>
  <si>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</si>
  <si>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</si>
  <si>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</si>
  <si>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</si>
  <si>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</si>
  <si>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</si>
  <si>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</si>
  <si>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</si>
  <si>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</si>
  <si>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</si>
  <si>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</si>
  <si>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</si>
  <si>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</si>
  <si>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</si>
  <si>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</si>
  <si>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</si>
  <si>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</si>
  <si>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</si>
  <si>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</si>
  <si>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</si>
  <si>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</si>
  <si>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</si>
  <si>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</si>
  <si>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</si>
  <si>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</si>
  <si>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</si>
  <si>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</si>
  <si>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</si>
  <si>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</si>
  <si>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</si>
  <si>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</si>
  <si>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</si>
  <si>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</si>
  <si>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</si>
  <si>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</si>
  <si>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</si>
  <si>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</si>
  <si>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</si>
  <si>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</si>
  <si>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</si>
  <si>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</si>
  <si>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</si>
  <si>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</si>
  <si>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</si>
  <si>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</si>
  <si>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</si>
  <si>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</si>
  <si>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</si>
  <si>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</si>
  <si>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</si>
  <si>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</si>
  <si>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</si>
  <si>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</si>
  <si>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</si>
  <si>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</si>
  <si>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</si>
  <si>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</si>
  <si>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</si>
  <si>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</si>
  <si>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</si>
  <si>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</si>
  <si>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</si>
  <si>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</si>
  <si>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</si>
  <si>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</si>
  <si>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</si>
  <si>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</si>
  <si>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</si>
  <si>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</si>
  <si>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</si>
  <si>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</si>
  <si>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</si>
  <si>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</si>
  <si>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</si>
  <si>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</si>
  <si>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</si>
  <si>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</si>
  <si>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</si>
  <si>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</si>
  <si>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</si>
  <si>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</si>
  <si>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</si>
  <si>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</si>
  <si>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</si>
  <si>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</si>
  <si>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</si>
  <si>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</si>
  <si>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</si>
  <si>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</si>
  <si>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</si>
  <si>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</si>
  <si>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</si>
  <si>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</si>
  <si>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</si>
  <si>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</si>
  <si>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</si>
  <si>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</si>
  <si>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</si>
  <si>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</si>
  <si>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</si>
  <si>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</si>
  <si>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</si>
  <si>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</si>
  <si>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</si>
  <si>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</si>
  <si>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</si>
  <si>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</si>
  <si>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</si>
  <si>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</si>
  <si>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</si>
  <si>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</si>
  <si>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</si>
  <si>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</si>
  <si>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</si>
  <si>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</si>
  <si>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</si>
  <si>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</si>
  <si>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</si>
  <si>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</si>
  <si>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</si>
  <si>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</si>
  <si>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</si>
  <si>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</si>
  <si>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</si>
  <si>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</si>
  <si>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</si>
  <si>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</si>
  <si>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</si>
  <si>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</si>
  <si>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</si>
  <si>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</si>
  <si>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</si>
  <si>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</si>
  <si>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</si>
  <si>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</si>
  <si>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</si>
  <si>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</si>
  <si>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</si>
  <si>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</si>
  <si>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</si>
  <si>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</si>
  <si>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</si>
  <si>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</si>
  <si>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</si>
  <si>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</si>
  <si>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</si>
  <si>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</si>
  <si>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</si>
  <si>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</si>
  <si>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</si>
  <si>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</si>
  <si>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</si>
  <si>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</si>
  <si>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</si>
  <si>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</si>
  <si>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</si>
  <si>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</si>
  <si>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</si>
  <si>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</si>
  <si>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</si>
  <si>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</si>
  <si>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</si>
  <si>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</si>
  <si>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</si>
  <si>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</si>
  <si>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</si>
  <si>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</si>
  <si>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</si>
  <si>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</si>
  <si>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</si>
  <si>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</si>
  <si>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</si>
  <si>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</si>
  <si>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</si>
  <si>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</si>
  <si>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</si>
  <si>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</si>
  <si>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</si>
  <si>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</si>
  <si>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</si>
  <si>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</si>
  <si>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</si>
  <si>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</si>
  <si>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</si>
  <si>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</si>
  <si>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</si>
  <si>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</si>
  <si>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</si>
  <si>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</si>
  <si>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</si>
  <si>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</si>
  <si>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</si>
  <si>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</si>
  <si>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</si>
  <si>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</si>
  <si>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</si>
  <si>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</si>
  <si>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</si>
  <si>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</si>
  <si>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</si>
  <si>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</si>
  <si>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</si>
  <si>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</si>
  <si>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</si>
  <si>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</si>
  <si>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</si>
  <si>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</si>
  <si>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</si>
  <si>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</si>
  <si>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</si>
  <si>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</si>
  <si>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</si>
  <si>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</si>
  <si>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</si>
  <si>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</si>
  <si>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</si>
  <si>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</si>
  <si>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</si>
  <si>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</si>
  <si>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</si>
  <si>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</si>
  <si>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</si>
  <si>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</si>
  <si>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</si>
  <si>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</si>
  <si>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</si>
  <si>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</si>
  <si>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</si>
  <si>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</si>
  <si>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</si>
  <si>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</si>
  <si>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</si>
  <si>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</si>
  <si>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</si>
  <si>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</si>
  <si>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</si>
  <si>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</si>
  <si>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</si>
  <si>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</si>
  <si>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</si>
  <si>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</si>
  <si>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</si>
  <si>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</si>
  <si>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</si>
  <si>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</si>
  <si>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</si>
  <si>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</si>
  <si>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</si>
  <si>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</si>
  <si>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</si>
  <si>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</si>
  <si>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</si>
  <si>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</si>
  <si>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</si>
  <si>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</si>
  <si>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</si>
  <si>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</si>
  <si>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</si>
  <si>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</si>
  <si>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</si>
  <si>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</si>
  <si>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</si>
  <si>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</si>
  <si>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</si>
  <si>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</si>
  <si>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</si>
  <si>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</si>
  <si>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</si>
  <si>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</si>
  <si>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</si>
  <si>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</si>
  <si>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</si>
  <si>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</si>
  <si>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</si>
  <si>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</si>
  <si>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</si>
  <si>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</si>
  <si>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</si>
  <si>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</si>
  <si>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</si>
  <si>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</si>
  <si>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</si>
  <si>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</si>
  <si>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</si>
  <si>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</si>
  <si>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</si>
  <si>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</si>
  <si>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</si>
  <si>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</si>
  <si>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</si>
  <si>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</si>
  <si>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</si>
  <si>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</si>
  <si>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</si>
  <si>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</si>
  <si>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</si>
  <si>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</si>
  <si>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</si>
  <si>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</si>
  <si>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</si>
  <si>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</si>
  <si>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</si>
  <si>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</si>
  <si>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</si>
  <si>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</si>
  <si>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</si>
  <si>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</si>
  <si>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</si>
  <si>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</si>
  <si>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</si>
  <si>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</si>
  <si>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</si>
  <si>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</si>
  <si>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</si>
  <si>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</si>
  <si>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</si>
  <si>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</si>
  <si>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</si>
  <si>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</si>
  <si>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</si>
  <si>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</si>
  <si>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</si>
  <si>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</si>
  <si>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</si>
  <si>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</si>
  <si>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</si>
  <si>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</si>
  <si>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</si>
  <si>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</si>
  <si>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</si>
  <si>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</si>
  <si>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</si>
  <si>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</si>
  <si>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</si>
  <si>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</si>
  <si>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</si>
  <si>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</si>
  <si>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</si>
  <si>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</si>
  <si>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</si>
  <si>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</si>
  <si>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</si>
  <si>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</si>
  <si>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</si>
  <si>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</si>
  <si>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</si>
  <si>
    <t>სს "ვითიბი ბანკი ჯორჯია"</t>
  </si>
  <si>
    <t>Sergey Stepanov</t>
  </si>
  <si>
    <t>Archil Kontselidze</t>
  </si>
  <si>
    <t>https://vtb.ge/</t>
  </si>
  <si>
    <t>სერგეი სტეპანოვი</t>
  </si>
  <si>
    <t>არადამოუკიდებელი თავმჯდომარე</t>
  </si>
  <si>
    <t>ილნარ შაიმარდანოვი</t>
  </si>
  <si>
    <t>არადამოუკიდებელ წევრი</t>
  </si>
  <si>
    <t>ასია ზახაროვა</t>
  </si>
  <si>
    <t>სვეტლანა კარალიოვა</t>
  </si>
  <si>
    <t>არჩილ კონცელიძე</t>
  </si>
  <si>
    <t>გენერალური დირექტორი</t>
  </si>
  <si>
    <t>მამუკა მენთეშაშვილი</t>
  </si>
  <si>
    <t>ფინანსური დირექტორი</t>
  </si>
  <si>
    <t>ნიკო ჩხეტიანი</t>
  </si>
  <si>
    <t>რისკების დირექტორი</t>
  </si>
  <si>
    <t>ნათია თხილაიშვილი</t>
  </si>
  <si>
    <t>საცალო ბიზნესის დირექტორი</t>
  </si>
  <si>
    <t>ვლადიმერ რობაქიძე</t>
  </si>
  <si>
    <t>კორპორატიული ბიზნესის დირექტორი</t>
  </si>
  <si>
    <t>ირაკლი დოლიძე</t>
  </si>
  <si>
    <t>საოპერაციო დირექტორი</t>
  </si>
  <si>
    <t>სსს "ვეტებე ბანკი"</t>
  </si>
  <si>
    <t>შპს "ლაკარპა ენტერპრაიზის ლიმიტედი"</t>
  </si>
  <si>
    <t>რუსეთის ფედერაცია</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</si>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</sst>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41" formatCode="_(* #,##0_);_(* \(#,##0\);_(* &quot;-&quot;_);_(@_)"/>
    <numFmt numFmtId="43" formatCode="_(* #,##0.00_);_(* \(#,##0.00\);_(* &quot;-&quot;??_);_(@_)"/>
    <numFmt numFmtId="164" formatCode="&quot;$&quot;#,##0.00_);[Red]\(&quot;$&quot;#,##0.00\)"/>
    <numFmt numFmtId="165" formatCode="_(&quot;$&quot;* #,##0_);_(&quot;$&quot;* \(#,##0\);_(&quot;$&quot;* &quot;-&quot;_);_(@_)"/>
    <numFmt numFmtId="166" formatCode="_(&quot;$&quot;* #,##0.00_);_(&quot;$&quot;* \(#,##0.00\);_(&quot;$&quot;* &quot;-&quot;??_);_(@_)"/>
    <numFmt numFmtId="167" formatCode="_(* #,##0_);_(* \(#,##0\);_(* &quot;-&quot;??_);_(@_)"/>
    <numFmt numFmtId="168" formatCode="0.0%"/>
    <numFmt numFmtId="169" formatCode="_-* #,##0.00_-;\-* #,##0.00_-;_-* &quot;-&quot;??_-;_-@_-"/>
    <numFmt numFmtId="170" formatCode="_(#,##0_);_(\(#,##0\);_(\ \-\ _);_(@_)"/>
    <numFmt numFmtId="171" formatCode="[$-409]dd\-mmm\-yy;@"/>
    <numFmt numFmtId="172" formatCode="[$-409]mmm\-yy;@"/>
    <numFmt numFmtId="173" formatCode="_ * #,##0.00_)&quot;F&quot;_ ;_ * \(#,##0.00\)&quot;F&quot;_ ;_ * &quot;-&quot;??_)&quot;F&quot;_ ;_ @_ "/>
    <numFmt numFmtId="174" formatCode="_(* #,##0.0_);_(* \(#,##0.00\);_(* &quot;-&quot;??_);_(@_)"/>
    <numFmt numFmtId="175" formatCode="General_)"/>
    <numFmt numFmtId="176" formatCode="0.000"/>
    <numFmt numFmtId="177" formatCode="&quot;fl&quot;#,##0_);\(&quot;fl&quot;#,##0\)"/>
    <numFmt numFmtId="178" formatCode="&quot;fl&quot;#,##0_);[Red]\(&quot;fl&quot;#,##0\)"/>
    <numFmt numFmtId="179" formatCode="&quot;fl&quot;#,##0.00_);\(&quot;fl&quot;#,##0.00\)"/>
    <numFmt numFmtId="180" formatCode="_-* #,##0.00_$_-;\-* #,##0.00_$_-;_-* &quot;-&quot;??_$_-;_-@_-"/>
    <numFmt numFmtId="181" formatCode="_-* #,##0.00\ _L_a_r_i_-;\-* #,##0.00\ _L_a_r_i_-;_-* &quot;-&quot;??\ _L_a_r_i_-;_-@_-"/>
    <numFmt numFmtId="182" formatCode="[$-409]d\-mmm\-yy;@"/>
    <numFmt numFmtId="183" formatCode="_-* #,##0.00\ _D_M_-;\-* #,##0.00\ _D_M_-;_-* &quot;-&quot;??\ _D_M_-;_-@_-"/>
    <numFmt numFmtId="184" formatCode="&quot;balance  &quot;[$-409]d\-mmm\-yy;@"/>
    <numFmt numFmtId="185" formatCode="mmmm\-yy"/>
    <numFmt numFmtId="186" formatCode="_-* #,##0_ð_._-;\-* #,##0_ð_._-;_-* &quot;-&quot;_ð_._-;_-@_-"/>
    <numFmt numFmtId="187" formatCode="_-* #,##0.00_ð_._-;\-* #,##0.00_ð_._-;_-* &quot;-&quot;??_ð_._-;_-@_-"/>
    <numFmt numFmtId="188" formatCode="&quot;See Note &quot;\ #"/>
    <numFmt numFmtId="189" formatCode="\60\4\7\:"/>
    <numFmt numFmtId="190" formatCode="&quot;p.&quot;#,##0.00;[Red]\-&quot;p.&quot;#,##0.00"/>
    <numFmt numFmtId="191" formatCode="0.00000"/>
    <numFmt numFmtId="192" formatCode="&quot;fl&quot;#,##0.00_);[Red]\(&quot;fl&quot;#,##0.00\)"/>
    <numFmt numFmtId="193" formatCode="_(&quot;fl&quot;* #,##0_);_(&quot;fl&quot;* \(#,##0\);_(&quot;fl&quot;* &quot;-&quot;_);_(@_)"/>
    <numFmt numFmtId="194" formatCode="&quot;Fr.&quot;\ #,##0;[Red]&quot;Fr.&quot;\ \-#,##0"/>
    <numFmt numFmtId="195" formatCode="_(&quot;¤&quot;* #,##0.00_);_(&quot;¤&quot;* \(#,##0.00\);_(&quot;¤&quot;* &quot;-&quot;??_);_(@_)"/>
    <numFmt numFmtId="196" formatCode="#,##0_ ;[Red]\-#,##0\ "/>
    <numFmt numFmtId="197" formatCode="_-* #,##0\ _€_-;\-* #,##0\ _€_-;_-* &quot;-&quot;??\ _€_-;_-@_-"/>
    <numFmt numFmtId="198" formatCode="#,##0.0"/>
    <numFmt numFmtId="199" formatCode="_(* #,##0.0_);_(* \(#,##0.0\);_(* &quot;-&quot;??_);_(@_)"/>
  </numFmts>
  <fonts count="16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
      <sz val="11"/>
      <color theme="1"/>
      <name val="Arial"/>
      <family val="2"/>
    </font>
  </fonts>
  <fills count="89">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00"/>
        <bgColor indexed="64"/>
      </patternFill>
    </fill>
    <fill>
      <patternFill patternType="solid">
        <fgColor theme="1" tint="0.34998626667073579"/>
        <bgColor indexed="64"/>
      </patternFill>
    </fill>
  </fills>
  <borders count="162">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9"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71" fontId="26" fillId="36" borderId="0"/>
    <xf numFmtId="172" fontId="26" fillId="36" borderId="0"/>
    <xf numFmtId="171" fontId="26" fillId="36" borderId="0"/>
    <xf numFmtId="0" fontId="27" fillId="37" borderId="0" applyNumberFormat="0" applyBorder="0" applyAlignment="0" applyProtection="0"/>
    <xf numFmtId="0" fontId="4" fillId="12" borderId="0" applyNumberFormat="0" applyBorder="0" applyAlignment="0" applyProtection="0"/>
    <xf numFmtId="171" fontId="28" fillId="37" borderId="0" applyNumberFormat="0" applyBorder="0" applyAlignment="0" applyProtection="0"/>
    <xf numFmtId="171" fontId="28" fillId="37" borderId="0" applyNumberFormat="0" applyBorder="0" applyAlignment="0" applyProtection="0"/>
    <xf numFmtId="172"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71" fontId="28" fillId="37" borderId="0" applyNumberFormat="0" applyBorder="0" applyAlignment="0" applyProtection="0"/>
    <xf numFmtId="172" fontId="28" fillId="37" borderId="0" applyNumberFormat="0" applyBorder="0" applyAlignment="0" applyProtection="0"/>
    <xf numFmtId="171" fontId="28" fillId="37" borderId="0" applyNumberFormat="0" applyBorder="0" applyAlignment="0" applyProtection="0"/>
    <xf numFmtId="171" fontId="28" fillId="37" borderId="0" applyNumberFormat="0" applyBorder="0" applyAlignment="0" applyProtection="0"/>
    <xf numFmtId="172" fontId="28" fillId="37" borderId="0" applyNumberFormat="0" applyBorder="0" applyAlignment="0" applyProtection="0"/>
    <xf numFmtId="171" fontId="28" fillId="37" borderId="0" applyNumberFormat="0" applyBorder="0" applyAlignment="0" applyProtection="0"/>
    <xf numFmtId="171" fontId="28" fillId="37" borderId="0" applyNumberFormat="0" applyBorder="0" applyAlignment="0" applyProtection="0"/>
    <xf numFmtId="172" fontId="28" fillId="37" borderId="0" applyNumberFormat="0" applyBorder="0" applyAlignment="0" applyProtection="0"/>
    <xf numFmtId="171" fontId="28" fillId="37" borderId="0" applyNumberFormat="0" applyBorder="0" applyAlignment="0" applyProtection="0"/>
    <xf numFmtId="171" fontId="28" fillId="37" borderId="0" applyNumberFormat="0" applyBorder="0" applyAlignment="0" applyProtection="0"/>
    <xf numFmtId="172" fontId="28" fillId="37" borderId="0" applyNumberFormat="0" applyBorder="0" applyAlignment="0" applyProtection="0"/>
    <xf numFmtId="171"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71" fontId="28" fillId="38" borderId="0" applyNumberFormat="0" applyBorder="0" applyAlignment="0" applyProtection="0"/>
    <xf numFmtId="171" fontId="28" fillId="38" borderId="0" applyNumberFormat="0" applyBorder="0" applyAlignment="0" applyProtection="0"/>
    <xf numFmtId="172"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71" fontId="28" fillId="38" borderId="0" applyNumberFormat="0" applyBorder="0" applyAlignment="0" applyProtection="0"/>
    <xf numFmtId="172" fontId="28" fillId="38" borderId="0" applyNumberFormat="0" applyBorder="0" applyAlignment="0" applyProtection="0"/>
    <xf numFmtId="171" fontId="28" fillId="38" borderId="0" applyNumberFormat="0" applyBorder="0" applyAlignment="0" applyProtection="0"/>
    <xf numFmtId="171" fontId="28" fillId="38" borderId="0" applyNumberFormat="0" applyBorder="0" applyAlignment="0" applyProtection="0"/>
    <xf numFmtId="172" fontId="28" fillId="38" borderId="0" applyNumberFormat="0" applyBorder="0" applyAlignment="0" applyProtection="0"/>
    <xf numFmtId="171" fontId="28" fillId="38" borderId="0" applyNumberFormat="0" applyBorder="0" applyAlignment="0" applyProtection="0"/>
    <xf numFmtId="171" fontId="28" fillId="38" borderId="0" applyNumberFormat="0" applyBorder="0" applyAlignment="0" applyProtection="0"/>
    <xf numFmtId="172" fontId="28" fillId="38" borderId="0" applyNumberFormat="0" applyBorder="0" applyAlignment="0" applyProtection="0"/>
    <xf numFmtId="171" fontId="28" fillId="38" borderId="0" applyNumberFormat="0" applyBorder="0" applyAlignment="0" applyProtection="0"/>
    <xf numFmtId="171" fontId="28" fillId="38" borderId="0" applyNumberFormat="0" applyBorder="0" applyAlignment="0" applyProtection="0"/>
    <xf numFmtId="172" fontId="28" fillId="38" borderId="0" applyNumberFormat="0" applyBorder="0" applyAlignment="0" applyProtection="0"/>
    <xf numFmtId="171"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71" fontId="28" fillId="39" borderId="0" applyNumberFormat="0" applyBorder="0" applyAlignment="0" applyProtection="0"/>
    <xf numFmtId="171" fontId="28" fillId="39" borderId="0" applyNumberFormat="0" applyBorder="0" applyAlignment="0" applyProtection="0"/>
    <xf numFmtId="172"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71" fontId="28" fillId="39" borderId="0" applyNumberFormat="0" applyBorder="0" applyAlignment="0" applyProtection="0"/>
    <xf numFmtId="172" fontId="28" fillId="39" borderId="0" applyNumberFormat="0" applyBorder="0" applyAlignment="0" applyProtection="0"/>
    <xf numFmtId="171" fontId="28" fillId="39" borderId="0" applyNumberFormat="0" applyBorder="0" applyAlignment="0" applyProtection="0"/>
    <xf numFmtId="171" fontId="28" fillId="39" borderId="0" applyNumberFormat="0" applyBorder="0" applyAlignment="0" applyProtection="0"/>
    <xf numFmtId="172" fontId="28" fillId="39" borderId="0" applyNumberFormat="0" applyBorder="0" applyAlignment="0" applyProtection="0"/>
    <xf numFmtId="171" fontId="28" fillId="39" borderId="0" applyNumberFormat="0" applyBorder="0" applyAlignment="0" applyProtection="0"/>
    <xf numFmtId="171" fontId="28" fillId="39" borderId="0" applyNumberFormat="0" applyBorder="0" applyAlignment="0" applyProtection="0"/>
    <xf numFmtId="172" fontId="28" fillId="39" borderId="0" applyNumberFormat="0" applyBorder="0" applyAlignment="0" applyProtection="0"/>
    <xf numFmtId="171" fontId="28" fillId="39" borderId="0" applyNumberFormat="0" applyBorder="0" applyAlignment="0" applyProtection="0"/>
    <xf numFmtId="171" fontId="28" fillId="39" borderId="0" applyNumberFormat="0" applyBorder="0" applyAlignment="0" applyProtection="0"/>
    <xf numFmtId="172" fontId="28" fillId="39" borderId="0" applyNumberFormat="0" applyBorder="0" applyAlignment="0" applyProtection="0"/>
    <xf numFmtId="171"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71" fontId="28" fillId="40" borderId="0" applyNumberFormat="0" applyBorder="0" applyAlignment="0" applyProtection="0"/>
    <xf numFmtId="171" fontId="28" fillId="40" borderId="0" applyNumberFormat="0" applyBorder="0" applyAlignment="0" applyProtection="0"/>
    <xf numFmtId="172"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71" fontId="28" fillId="40" borderId="0" applyNumberFormat="0" applyBorder="0" applyAlignment="0" applyProtection="0"/>
    <xf numFmtId="172" fontId="28" fillId="40" borderId="0" applyNumberFormat="0" applyBorder="0" applyAlignment="0" applyProtection="0"/>
    <xf numFmtId="171" fontId="28" fillId="40" borderId="0" applyNumberFormat="0" applyBorder="0" applyAlignment="0" applyProtection="0"/>
    <xf numFmtId="171" fontId="28" fillId="40" borderId="0" applyNumberFormat="0" applyBorder="0" applyAlignment="0" applyProtection="0"/>
    <xf numFmtId="172" fontId="28" fillId="40" borderId="0" applyNumberFormat="0" applyBorder="0" applyAlignment="0" applyProtection="0"/>
    <xf numFmtId="171" fontId="28" fillId="40" borderId="0" applyNumberFormat="0" applyBorder="0" applyAlignment="0" applyProtection="0"/>
    <xf numFmtId="171" fontId="28" fillId="40" borderId="0" applyNumberFormat="0" applyBorder="0" applyAlignment="0" applyProtection="0"/>
    <xf numFmtId="172" fontId="28" fillId="40" borderId="0" applyNumberFormat="0" applyBorder="0" applyAlignment="0" applyProtection="0"/>
    <xf numFmtId="171" fontId="28" fillId="40" borderId="0" applyNumberFormat="0" applyBorder="0" applyAlignment="0" applyProtection="0"/>
    <xf numFmtId="171" fontId="28" fillId="40" borderId="0" applyNumberFormat="0" applyBorder="0" applyAlignment="0" applyProtection="0"/>
    <xf numFmtId="172" fontId="28" fillId="40" borderId="0" applyNumberFormat="0" applyBorder="0" applyAlignment="0" applyProtection="0"/>
    <xf numFmtId="171"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71" fontId="28" fillId="41" borderId="0" applyNumberFormat="0" applyBorder="0" applyAlignment="0" applyProtection="0"/>
    <xf numFmtId="171" fontId="28" fillId="41" borderId="0" applyNumberFormat="0" applyBorder="0" applyAlignment="0" applyProtection="0"/>
    <xf numFmtId="172"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71" fontId="28" fillId="41" borderId="0" applyNumberFormat="0" applyBorder="0" applyAlignment="0" applyProtection="0"/>
    <xf numFmtId="172" fontId="28" fillId="41" borderId="0" applyNumberFormat="0" applyBorder="0" applyAlignment="0" applyProtection="0"/>
    <xf numFmtId="171" fontId="28" fillId="41" borderId="0" applyNumberFormat="0" applyBorder="0" applyAlignment="0" applyProtection="0"/>
    <xf numFmtId="171" fontId="28" fillId="41" borderId="0" applyNumberFormat="0" applyBorder="0" applyAlignment="0" applyProtection="0"/>
    <xf numFmtId="172" fontId="28" fillId="41" borderId="0" applyNumberFormat="0" applyBorder="0" applyAlignment="0" applyProtection="0"/>
    <xf numFmtId="171" fontId="28" fillId="41" borderId="0" applyNumberFormat="0" applyBorder="0" applyAlignment="0" applyProtection="0"/>
    <xf numFmtId="171" fontId="28" fillId="41" borderId="0" applyNumberFormat="0" applyBorder="0" applyAlignment="0" applyProtection="0"/>
    <xf numFmtId="172" fontId="28" fillId="41" borderId="0" applyNumberFormat="0" applyBorder="0" applyAlignment="0" applyProtection="0"/>
    <xf numFmtId="171" fontId="28" fillId="41" borderId="0" applyNumberFormat="0" applyBorder="0" applyAlignment="0" applyProtection="0"/>
    <xf numFmtId="171" fontId="28" fillId="41" borderId="0" applyNumberFormat="0" applyBorder="0" applyAlignment="0" applyProtection="0"/>
    <xf numFmtId="172" fontId="28" fillId="41" borderId="0" applyNumberFormat="0" applyBorder="0" applyAlignment="0" applyProtection="0"/>
    <xf numFmtId="171"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71" fontId="28" fillId="42" borderId="0" applyNumberFormat="0" applyBorder="0" applyAlignment="0" applyProtection="0"/>
    <xf numFmtId="171" fontId="28" fillId="42" borderId="0" applyNumberFormat="0" applyBorder="0" applyAlignment="0" applyProtection="0"/>
    <xf numFmtId="172"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71" fontId="28" fillId="42" borderId="0" applyNumberFormat="0" applyBorder="0" applyAlignment="0" applyProtection="0"/>
    <xf numFmtId="172" fontId="28" fillId="42" borderId="0" applyNumberFormat="0" applyBorder="0" applyAlignment="0" applyProtection="0"/>
    <xf numFmtId="171" fontId="28" fillId="42" borderId="0" applyNumberFormat="0" applyBorder="0" applyAlignment="0" applyProtection="0"/>
    <xf numFmtId="171" fontId="28" fillId="42" borderId="0" applyNumberFormat="0" applyBorder="0" applyAlignment="0" applyProtection="0"/>
    <xf numFmtId="172" fontId="28" fillId="42" borderId="0" applyNumberFormat="0" applyBorder="0" applyAlignment="0" applyProtection="0"/>
    <xf numFmtId="171" fontId="28" fillId="42" borderId="0" applyNumberFormat="0" applyBorder="0" applyAlignment="0" applyProtection="0"/>
    <xf numFmtId="171" fontId="28" fillId="42" borderId="0" applyNumberFormat="0" applyBorder="0" applyAlignment="0" applyProtection="0"/>
    <xf numFmtId="172" fontId="28" fillId="42" borderId="0" applyNumberFormat="0" applyBorder="0" applyAlignment="0" applyProtection="0"/>
    <xf numFmtId="171" fontId="28" fillId="42" borderId="0" applyNumberFormat="0" applyBorder="0" applyAlignment="0" applyProtection="0"/>
    <xf numFmtId="171" fontId="28" fillId="42" borderId="0" applyNumberFormat="0" applyBorder="0" applyAlignment="0" applyProtection="0"/>
    <xf numFmtId="172" fontId="28" fillId="42" borderId="0" applyNumberFormat="0" applyBorder="0" applyAlignment="0" applyProtection="0"/>
    <xf numFmtId="171"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71" fontId="28" fillId="43" borderId="0" applyNumberFormat="0" applyBorder="0" applyAlignment="0" applyProtection="0"/>
    <xf numFmtId="171" fontId="28" fillId="43" borderId="0" applyNumberFormat="0" applyBorder="0" applyAlignment="0" applyProtection="0"/>
    <xf numFmtId="172"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1" fontId="28" fillId="43" borderId="0" applyNumberFormat="0" applyBorder="0" applyAlignment="0" applyProtection="0"/>
    <xf numFmtId="172" fontId="28" fillId="43" borderId="0" applyNumberFormat="0" applyBorder="0" applyAlignment="0" applyProtection="0"/>
    <xf numFmtId="171" fontId="28" fillId="43" borderId="0" applyNumberFormat="0" applyBorder="0" applyAlignment="0" applyProtection="0"/>
    <xf numFmtId="171" fontId="28" fillId="43" borderId="0" applyNumberFormat="0" applyBorder="0" applyAlignment="0" applyProtection="0"/>
    <xf numFmtId="172" fontId="28" fillId="43" borderId="0" applyNumberFormat="0" applyBorder="0" applyAlignment="0" applyProtection="0"/>
    <xf numFmtId="171" fontId="28" fillId="43" borderId="0" applyNumberFormat="0" applyBorder="0" applyAlignment="0" applyProtection="0"/>
    <xf numFmtId="171" fontId="28" fillId="43" borderId="0" applyNumberFormat="0" applyBorder="0" applyAlignment="0" applyProtection="0"/>
    <xf numFmtId="172" fontId="28" fillId="43" borderId="0" applyNumberFormat="0" applyBorder="0" applyAlignment="0" applyProtection="0"/>
    <xf numFmtId="171" fontId="28" fillId="43" borderId="0" applyNumberFormat="0" applyBorder="0" applyAlignment="0" applyProtection="0"/>
    <xf numFmtId="171" fontId="28" fillId="43" borderId="0" applyNumberFormat="0" applyBorder="0" applyAlignment="0" applyProtection="0"/>
    <xf numFmtId="172" fontId="28" fillId="43" borderId="0" applyNumberFormat="0" applyBorder="0" applyAlignment="0" applyProtection="0"/>
    <xf numFmtId="171"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71" fontId="28" fillId="44" borderId="0" applyNumberFormat="0" applyBorder="0" applyAlignment="0" applyProtection="0"/>
    <xf numFmtId="171" fontId="28" fillId="44" borderId="0" applyNumberFormat="0" applyBorder="0" applyAlignment="0" applyProtection="0"/>
    <xf numFmtId="172"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1" fontId="28" fillId="44" borderId="0" applyNumberFormat="0" applyBorder="0" applyAlignment="0" applyProtection="0"/>
    <xf numFmtId="172" fontId="28" fillId="44" borderId="0" applyNumberFormat="0" applyBorder="0" applyAlignment="0" applyProtection="0"/>
    <xf numFmtId="171" fontId="28" fillId="44" borderId="0" applyNumberFormat="0" applyBorder="0" applyAlignment="0" applyProtection="0"/>
    <xf numFmtId="171" fontId="28" fillId="44" borderId="0" applyNumberFormat="0" applyBorder="0" applyAlignment="0" applyProtection="0"/>
    <xf numFmtId="172" fontId="28" fillId="44" borderId="0" applyNumberFormat="0" applyBorder="0" applyAlignment="0" applyProtection="0"/>
    <xf numFmtId="171" fontId="28" fillId="44" borderId="0" applyNumberFormat="0" applyBorder="0" applyAlignment="0" applyProtection="0"/>
    <xf numFmtId="171" fontId="28" fillId="44" borderId="0" applyNumberFormat="0" applyBorder="0" applyAlignment="0" applyProtection="0"/>
    <xf numFmtId="172" fontId="28" fillId="44" borderId="0" applyNumberFormat="0" applyBorder="0" applyAlignment="0" applyProtection="0"/>
    <xf numFmtId="171" fontId="28" fillId="44" borderId="0" applyNumberFormat="0" applyBorder="0" applyAlignment="0" applyProtection="0"/>
    <xf numFmtId="171" fontId="28" fillId="44" borderId="0" applyNumberFormat="0" applyBorder="0" applyAlignment="0" applyProtection="0"/>
    <xf numFmtId="172" fontId="28" fillId="44" borderId="0" applyNumberFormat="0" applyBorder="0" applyAlignment="0" applyProtection="0"/>
    <xf numFmtId="171"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71" fontId="28" fillId="45" borderId="0" applyNumberFormat="0" applyBorder="0" applyAlignment="0" applyProtection="0"/>
    <xf numFmtId="171" fontId="28" fillId="45" borderId="0" applyNumberFormat="0" applyBorder="0" applyAlignment="0" applyProtection="0"/>
    <xf numFmtId="172"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1" fontId="28" fillId="45" borderId="0" applyNumberFormat="0" applyBorder="0" applyAlignment="0" applyProtection="0"/>
    <xf numFmtId="172" fontId="28" fillId="45" borderId="0" applyNumberFormat="0" applyBorder="0" applyAlignment="0" applyProtection="0"/>
    <xf numFmtId="171" fontId="28" fillId="45" borderId="0" applyNumberFormat="0" applyBorder="0" applyAlignment="0" applyProtection="0"/>
    <xf numFmtId="171" fontId="28" fillId="45" borderId="0" applyNumberFormat="0" applyBorder="0" applyAlignment="0" applyProtection="0"/>
    <xf numFmtId="172" fontId="28" fillId="45" borderId="0" applyNumberFormat="0" applyBorder="0" applyAlignment="0" applyProtection="0"/>
    <xf numFmtId="171" fontId="28" fillId="45" borderId="0" applyNumberFormat="0" applyBorder="0" applyAlignment="0" applyProtection="0"/>
    <xf numFmtId="171" fontId="28" fillId="45" borderId="0" applyNumberFormat="0" applyBorder="0" applyAlignment="0" applyProtection="0"/>
    <xf numFmtId="172" fontId="28" fillId="45" borderId="0" applyNumberFormat="0" applyBorder="0" applyAlignment="0" applyProtection="0"/>
    <xf numFmtId="171" fontId="28" fillId="45" borderId="0" applyNumberFormat="0" applyBorder="0" applyAlignment="0" applyProtection="0"/>
    <xf numFmtId="171" fontId="28" fillId="45" borderId="0" applyNumberFormat="0" applyBorder="0" applyAlignment="0" applyProtection="0"/>
    <xf numFmtId="172" fontId="28" fillId="45" borderId="0" applyNumberFormat="0" applyBorder="0" applyAlignment="0" applyProtection="0"/>
    <xf numFmtId="171"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71" fontId="28" fillId="40" borderId="0" applyNumberFormat="0" applyBorder="0" applyAlignment="0" applyProtection="0"/>
    <xf numFmtId="171" fontId="28" fillId="40" borderId="0" applyNumberFormat="0" applyBorder="0" applyAlignment="0" applyProtection="0"/>
    <xf numFmtId="172"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1" fontId="28" fillId="40" borderId="0" applyNumberFormat="0" applyBorder="0" applyAlignment="0" applyProtection="0"/>
    <xf numFmtId="172" fontId="28" fillId="40" borderId="0" applyNumberFormat="0" applyBorder="0" applyAlignment="0" applyProtection="0"/>
    <xf numFmtId="171" fontId="28" fillId="40" borderId="0" applyNumberFormat="0" applyBorder="0" applyAlignment="0" applyProtection="0"/>
    <xf numFmtId="171" fontId="28" fillId="40" borderId="0" applyNumberFormat="0" applyBorder="0" applyAlignment="0" applyProtection="0"/>
    <xf numFmtId="172" fontId="28" fillId="40" borderId="0" applyNumberFormat="0" applyBorder="0" applyAlignment="0" applyProtection="0"/>
    <xf numFmtId="171" fontId="28" fillId="40" borderId="0" applyNumberFormat="0" applyBorder="0" applyAlignment="0" applyProtection="0"/>
    <xf numFmtId="171" fontId="28" fillId="40" borderId="0" applyNumberFormat="0" applyBorder="0" applyAlignment="0" applyProtection="0"/>
    <xf numFmtId="172" fontId="28" fillId="40" borderId="0" applyNumberFormat="0" applyBorder="0" applyAlignment="0" applyProtection="0"/>
    <xf numFmtId="171" fontId="28" fillId="40" borderId="0" applyNumberFormat="0" applyBorder="0" applyAlignment="0" applyProtection="0"/>
    <xf numFmtId="171" fontId="28" fillId="40" borderId="0" applyNumberFormat="0" applyBorder="0" applyAlignment="0" applyProtection="0"/>
    <xf numFmtId="172" fontId="28" fillId="40" borderId="0" applyNumberFormat="0" applyBorder="0" applyAlignment="0" applyProtection="0"/>
    <xf numFmtId="171"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71" fontId="28" fillId="43" borderId="0" applyNumberFormat="0" applyBorder="0" applyAlignment="0" applyProtection="0"/>
    <xf numFmtId="171" fontId="28" fillId="43" borderId="0" applyNumberFormat="0" applyBorder="0" applyAlignment="0" applyProtection="0"/>
    <xf numFmtId="172"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1" fontId="28" fillId="43" borderId="0" applyNumberFormat="0" applyBorder="0" applyAlignment="0" applyProtection="0"/>
    <xf numFmtId="172" fontId="28" fillId="43" borderId="0" applyNumberFormat="0" applyBorder="0" applyAlignment="0" applyProtection="0"/>
    <xf numFmtId="171" fontId="28" fillId="43" borderId="0" applyNumberFormat="0" applyBorder="0" applyAlignment="0" applyProtection="0"/>
    <xf numFmtId="171" fontId="28" fillId="43" borderId="0" applyNumberFormat="0" applyBorder="0" applyAlignment="0" applyProtection="0"/>
    <xf numFmtId="172" fontId="28" fillId="43" borderId="0" applyNumberFormat="0" applyBorder="0" applyAlignment="0" applyProtection="0"/>
    <xf numFmtId="171" fontId="28" fillId="43" borderId="0" applyNumberFormat="0" applyBorder="0" applyAlignment="0" applyProtection="0"/>
    <xf numFmtId="171" fontId="28" fillId="43" borderId="0" applyNumberFormat="0" applyBorder="0" applyAlignment="0" applyProtection="0"/>
    <xf numFmtId="172" fontId="28" fillId="43" borderId="0" applyNumberFormat="0" applyBorder="0" applyAlignment="0" applyProtection="0"/>
    <xf numFmtId="171" fontId="28" fillId="43" borderId="0" applyNumberFormat="0" applyBorder="0" applyAlignment="0" applyProtection="0"/>
    <xf numFmtId="171" fontId="28" fillId="43" borderId="0" applyNumberFormat="0" applyBorder="0" applyAlignment="0" applyProtection="0"/>
    <xf numFmtId="172" fontId="28" fillId="43" borderId="0" applyNumberFormat="0" applyBorder="0" applyAlignment="0" applyProtection="0"/>
    <xf numFmtId="171"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71" fontId="28" fillId="46" borderId="0" applyNumberFormat="0" applyBorder="0" applyAlignment="0" applyProtection="0"/>
    <xf numFmtId="171" fontId="28" fillId="46" borderId="0" applyNumberFormat="0" applyBorder="0" applyAlignment="0" applyProtection="0"/>
    <xf numFmtId="172"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1" fontId="28" fillId="46" borderId="0" applyNumberFormat="0" applyBorder="0" applyAlignment="0" applyProtection="0"/>
    <xf numFmtId="172" fontId="28" fillId="46" borderId="0" applyNumberFormat="0" applyBorder="0" applyAlignment="0" applyProtection="0"/>
    <xf numFmtId="171" fontId="28" fillId="46" borderId="0" applyNumberFormat="0" applyBorder="0" applyAlignment="0" applyProtection="0"/>
    <xf numFmtId="171" fontId="28" fillId="46" borderId="0" applyNumberFormat="0" applyBorder="0" applyAlignment="0" applyProtection="0"/>
    <xf numFmtId="172" fontId="28" fillId="46" borderId="0" applyNumberFormat="0" applyBorder="0" applyAlignment="0" applyProtection="0"/>
    <xf numFmtId="171" fontId="28" fillId="46" borderId="0" applyNumberFormat="0" applyBorder="0" applyAlignment="0" applyProtection="0"/>
    <xf numFmtId="171" fontId="28" fillId="46" borderId="0" applyNumberFormat="0" applyBorder="0" applyAlignment="0" applyProtection="0"/>
    <xf numFmtId="172" fontId="28" fillId="46" borderId="0" applyNumberFormat="0" applyBorder="0" applyAlignment="0" applyProtection="0"/>
    <xf numFmtId="171" fontId="28" fillId="46" borderId="0" applyNumberFormat="0" applyBorder="0" applyAlignment="0" applyProtection="0"/>
    <xf numFmtId="171" fontId="28" fillId="46" borderId="0" applyNumberFormat="0" applyBorder="0" applyAlignment="0" applyProtection="0"/>
    <xf numFmtId="172" fontId="28" fillId="46" borderId="0" applyNumberFormat="0" applyBorder="0" applyAlignment="0" applyProtection="0"/>
    <xf numFmtId="171"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71" fontId="31" fillId="47" borderId="0" applyNumberFormat="0" applyBorder="0" applyAlignment="0" applyProtection="0"/>
    <xf numFmtId="171" fontId="31" fillId="47" borderId="0" applyNumberFormat="0" applyBorder="0" applyAlignment="0" applyProtection="0"/>
    <xf numFmtId="172"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71" fontId="31" fillId="47" borderId="0" applyNumberFormat="0" applyBorder="0" applyAlignment="0" applyProtection="0"/>
    <xf numFmtId="172" fontId="31" fillId="47" borderId="0" applyNumberFormat="0" applyBorder="0" applyAlignment="0" applyProtection="0"/>
    <xf numFmtId="171" fontId="31" fillId="47" borderId="0" applyNumberFormat="0" applyBorder="0" applyAlignment="0" applyProtection="0"/>
    <xf numFmtId="171" fontId="31" fillId="47" borderId="0" applyNumberFormat="0" applyBorder="0" applyAlignment="0" applyProtection="0"/>
    <xf numFmtId="172" fontId="31" fillId="47" borderId="0" applyNumberFormat="0" applyBorder="0" applyAlignment="0" applyProtection="0"/>
    <xf numFmtId="171" fontId="31" fillId="47" borderId="0" applyNumberFormat="0" applyBorder="0" applyAlignment="0" applyProtection="0"/>
    <xf numFmtId="171" fontId="31" fillId="47" borderId="0" applyNumberFormat="0" applyBorder="0" applyAlignment="0" applyProtection="0"/>
    <xf numFmtId="172" fontId="31" fillId="47" borderId="0" applyNumberFormat="0" applyBorder="0" applyAlignment="0" applyProtection="0"/>
    <xf numFmtId="171" fontId="31" fillId="47" borderId="0" applyNumberFormat="0" applyBorder="0" applyAlignment="0" applyProtection="0"/>
    <xf numFmtId="171" fontId="31" fillId="47" borderId="0" applyNumberFormat="0" applyBorder="0" applyAlignment="0" applyProtection="0"/>
    <xf numFmtId="172" fontId="31" fillId="47" borderId="0" applyNumberFormat="0" applyBorder="0" applyAlignment="0" applyProtection="0"/>
    <xf numFmtId="171"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71" fontId="31" fillId="44" borderId="0" applyNumberFormat="0" applyBorder="0" applyAlignment="0" applyProtection="0"/>
    <xf numFmtId="171" fontId="31" fillId="44" borderId="0" applyNumberFormat="0" applyBorder="0" applyAlignment="0" applyProtection="0"/>
    <xf numFmtId="172"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71" fontId="31" fillId="44" borderId="0" applyNumberFormat="0" applyBorder="0" applyAlignment="0" applyProtection="0"/>
    <xf numFmtId="172" fontId="31" fillId="44" borderId="0" applyNumberFormat="0" applyBorder="0" applyAlignment="0" applyProtection="0"/>
    <xf numFmtId="171" fontId="31" fillId="44" borderId="0" applyNumberFormat="0" applyBorder="0" applyAlignment="0" applyProtection="0"/>
    <xf numFmtId="171" fontId="31" fillId="44" borderId="0" applyNumberFormat="0" applyBorder="0" applyAlignment="0" applyProtection="0"/>
    <xf numFmtId="172" fontId="31" fillId="44" borderId="0" applyNumberFormat="0" applyBorder="0" applyAlignment="0" applyProtection="0"/>
    <xf numFmtId="171" fontId="31" fillId="44" borderId="0" applyNumberFormat="0" applyBorder="0" applyAlignment="0" applyProtection="0"/>
    <xf numFmtId="171" fontId="31" fillId="44" borderId="0" applyNumberFormat="0" applyBorder="0" applyAlignment="0" applyProtection="0"/>
    <xf numFmtId="172" fontId="31" fillId="44" borderId="0" applyNumberFormat="0" applyBorder="0" applyAlignment="0" applyProtection="0"/>
    <xf numFmtId="171" fontId="31" fillId="44" borderId="0" applyNumberFormat="0" applyBorder="0" applyAlignment="0" applyProtection="0"/>
    <xf numFmtId="171" fontId="31" fillId="44" borderId="0" applyNumberFormat="0" applyBorder="0" applyAlignment="0" applyProtection="0"/>
    <xf numFmtId="172" fontId="31" fillId="44" borderId="0" applyNumberFormat="0" applyBorder="0" applyAlignment="0" applyProtection="0"/>
    <xf numFmtId="171"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71" fontId="31" fillId="45" borderId="0" applyNumberFormat="0" applyBorder="0" applyAlignment="0" applyProtection="0"/>
    <xf numFmtId="171" fontId="31" fillId="45" borderId="0" applyNumberFormat="0" applyBorder="0" applyAlignment="0" applyProtection="0"/>
    <xf numFmtId="172"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71" fontId="31" fillId="45" borderId="0" applyNumberFormat="0" applyBorder="0" applyAlignment="0" applyProtection="0"/>
    <xf numFmtId="172" fontId="31" fillId="45" borderId="0" applyNumberFormat="0" applyBorder="0" applyAlignment="0" applyProtection="0"/>
    <xf numFmtId="171" fontId="31" fillId="45" borderId="0" applyNumberFormat="0" applyBorder="0" applyAlignment="0" applyProtection="0"/>
    <xf numFmtId="171" fontId="31" fillId="45" borderId="0" applyNumberFormat="0" applyBorder="0" applyAlignment="0" applyProtection="0"/>
    <xf numFmtId="172" fontId="31" fillId="45" borderId="0" applyNumberFormat="0" applyBorder="0" applyAlignment="0" applyProtection="0"/>
    <xf numFmtId="171" fontId="31" fillId="45" borderId="0" applyNumberFormat="0" applyBorder="0" applyAlignment="0" applyProtection="0"/>
    <xf numFmtId="171" fontId="31" fillId="45" borderId="0" applyNumberFormat="0" applyBorder="0" applyAlignment="0" applyProtection="0"/>
    <xf numFmtId="172" fontId="31" fillId="45" borderId="0" applyNumberFormat="0" applyBorder="0" applyAlignment="0" applyProtection="0"/>
    <xf numFmtId="171" fontId="31" fillId="45" borderId="0" applyNumberFormat="0" applyBorder="0" applyAlignment="0" applyProtection="0"/>
    <xf numFmtId="171" fontId="31" fillId="45" borderId="0" applyNumberFormat="0" applyBorder="0" applyAlignment="0" applyProtection="0"/>
    <xf numFmtId="172" fontId="31" fillId="45" borderId="0" applyNumberFormat="0" applyBorder="0" applyAlignment="0" applyProtection="0"/>
    <xf numFmtId="171"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71" fontId="31" fillId="48" borderId="0" applyNumberFormat="0" applyBorder="0" applyAlignment="0" applyProtection="0"/>
    <xf numFmtId="171" fontId="31" fillId="48" borderId="0" applyNumberFormat="0" applyBorder="0" applyAlignment="0" applyProtection="0"/>
    <xf numFmtId="172"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71" fontId="31" fillId="48" borderId="0" applyNumberFormat="0" applyBorder="0" applyAlignment="0" applyProtection="0"/>
    <xf numFmtId="172" fontId="31" fillId="48" borderId="0" applyNumberFormat="0" applyBorder="0" applyAlignment="0" applyProtection="0"/>
    <xf numFmtId="171" fontId="31" fillId="48" borderId="0" applyNumberFormat="0" applyBorder="0" applyAlignment="0" applyProtection="0"/>
    <xf numFmtId="171" fontId="31" fillId="48" borderId="0" applyNumberFormat="0" applyBorder="0" applyAlignment="0" applyProtection="0"/>
    <xf numFmtId="172" fontId="31" fillId="48" borderId="0" applyNumberFormat="0" applyBorder="0" applyAlignment="0" applyProtection="0"/>
    <xf numFmtId="171" fontId="31" fillId="48" borderId="0" applyNumberFormat="0" applyBorder="0" applyAlignment="0" applyProtection="0"/>
    <xf numFmtId="171" fontId="31" fillId="48" borderId="0" applyNumberFormat="0" applyBorder="0" applyAlignment="0" applyProtection="0"/>
    <xf numFmtId="172" fontId="31" fillId="48" borderId="0" applyNumberFormat="0" applyBorder="0" applyAlignment="0" applyProtection="0"/>
    <xf numFmtId="171" fontId="31" fillId="48" borderId="0" applyNumberFormat="0" applyBorder="0" applyAlignment="0" applyProtection="0"/>
    <xf numFmtId="171" fontId="31" fillId="48" borderId="0" applyNumberFormat="0" applyBorder="0" applyAlignment="0" applyProtection="0"/>
    <xf numFmtId="172" fontId="31" fillId="48" borderId="0" applyNumberFormat="0" applyBorder="0" applyAlignment="0" applyProtection="0"/>
    <xf numFmtId="171"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71" fontId="31" fillId="49" borderId="0" applyNumberFormat="0" applyBorder="0" applyAlignment="0" applyProtection="0"/>
    <xf numFmtId="171" fontId="31" fillId="49" borderId="0" applyNumberFormat="0" applyBorder="0" applyAlignment="0" applyProtection="0"/>
    <xf numFmtId="172"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71" fontId="31" fillId="49" borderId="0" applyNumberFormat="0" applyBorder="0" applyAlignment="0" applyProtection="0"/>
    <xf numFmtId="172" fontId="31" fillId="49" borderId="0" applyNumberFormat="0" applyBorder="0" applyAlignment="0" applyProtection="0"/>
    <xf numFmtId="171" fontId="31" fillId="49" borderId="0" applyNumberFormat="0" applyBorder="0" applyAlignment="0" applyProtection="0"/>
    <xf numFmtId="171" fontId="31" fillId="49" borderId="0" applyNumberFormat="0" applyBorder="0" applyAlignment="0" applyProtection="0"/>
    <xf numFmtId="172" fontId="31" fillId="49" borderId="0" applyNumberFormat="0" applyBorder="0" applyAlignment="0" applyProtection="0"/>
    <xf numFmtId="171" fontId="31" fillId="49" borderId="0" applyNumberFormat="0" applyBorder="0" applyAlignment="0" applyProtection="0"/>
    <xf numFmtId="171" fontId="31" fillId="49" borderId="0" applyNumberFormat="0" applyBorder="0" applyAlignment="0" applyProtection="0"/>
    <xf numFmtId="172" fontId="31" fillId="49" borderId="0" applyNumberFormat="0" applyBorder="0" applyAlignment="0" applyProtection="0"/>
    <xf numFmtId="171" fontId="31" fillId="49" borderId="0" applyNumberFormat="0" applyBorder="0" applyAlignment="0" applyProtection="0"/>
    <xf numFmtId="171" fontId="31" fillId="49" borderId="0" applyNumberFormat="0" applyBorder="0" applyAlignment="0" applyProtection="0"/>
    <xf numFmtId="172" fontId="31" fillId="49" borderId="0" applyNumberFormat="0" applyBorder="0" applyAlignment="0" applyProtection="0"/>
    <xf numFmtId="171"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71" fontId="31" fillId="50" borderId="0" applyNumberFormat="0" applyBorder="0" applyAlignment="0" applyProtection="0"/>
    <xf numFmtId="171" fontId="31" fillId="50" borderId="0" applyNumberFormat="0" applyBorder="0" applyAlignment="0" applyProtection="0"/>
    <xf numFmtId="172"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71" fontId="31" fillId="50" borderId="0" applyNumberFormat="0" applyBorder="0" applyAlignment="0" applyProtection="0"/>
    <xf numFmtId="172" fontId="31" fillId="50" borderId="0" applyNumberFormat="0" applyBorder="0" applyAlignment="0" applyProtection="0"/>
    <xf numFmtId="171" fontId="31" fillId="50" borderId="0" applyNumberFormat="0" applyBorder="0" applyAlignment="0" applyProtection="0"/>
    <xf numFmtId="171" fontId="31" fillId="50" borderId="0" applyNumberFormat="0" applyBorder="0" applyAlignment="0" applyProtection="0"/>
    <xf numFmtId="172" fontId="31" fillId="50" borderId="0" applyNumberFormat="0" applyBorder="0" applyAlignment="0" applyProtection="0"/>
    <xf numFmtId="171" fontId="31" fillId="50" borderId="0" applyNumberFormat="0" applyBorder="0" applyAlignment="0" applyProtection="0"/>
    <xf numFmtId="171" fontId="31" fillId="50" borderId="0" applyNumberFormat="0" applyBorder="0" applyAlignment="0" applyProtection="0"/>
    <xf numFmtId="172" fontId="31" fillId="50" borderId="0" applyNumberFormat="0" applyBorder="0" applyAlignment="0" applyProtection="0"/>
    <xf numFmtId="171" fontId="31" fillId="50" borderId="0" applyNumberFormat="0" applyBorder="0" applyAlignment="0" applyProtection="0"/>
    <xf numFmtId="171" fontId="31" fillId="50" borderId="0" applyNumberFormat="0" applyBorder="0" applyAlignment="0" applyProtection="0"/>
    <xf numFmtId="172" fontId="31" fillId="50" borderId="0" applyNumberFormat="0" applyBorder="0" applyAlignment="0" applyProtection="0"/>
    <xf numFmtId="171"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71" fontId="31" fillId="53" borderId="0" applyNumberFormat="0" applyBorder="0" applyAlignment="0" applyProtection="0"/>
    <xf numFmtId="171" fontId="31" fillId="53" borderId="0" applyNumberFormat="0" applyBorder="0" applyAlignment="0" applyProtection="0"/>
    <xf numFmtId="172"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71" fontId="31" fillId="53" borderId="0" applyNumberFormat="0" applyBorder="0" applyAlignment="0" applyProtection="0"/>
    <xf numFmtId="172" fontId="31" fillId="53" borderId="0" applyNumberFormat="0" applyBorder="0" applyAlignment="0" applyProtection="0"/>
    <xf numFmtId="171" fontId="31" fillId="53" borderId="0" applyNumberFormat="0" applyBorder="0" applyAlignment="0" applyProtection="0"/>
    <xf numFmtId="171" fontId="31" fillId="53" borderId="0" applyNumberFormat="0" applyBorder="0" applyAlignment="0" applyProtection="0"/>
    <xf numFmtId="172" fontId="31" fillId="53" borderId="0" applyNumberFormat="0" applyBorder="0" applyAlignment="0" applyProtection="0"/>
    <xf numFmtId="171" fontId="31" fillId="53" borderId="0" applyNumberFormat="0" applyBorder="0" applyAlignment="0" applyProtection="0"/>
    <xf numFmtId="171" fontId="31" fillId="53" borderId="0" applyNumberFormat="0" applyBorder="0" applyAlignment="0" applyProtection="0"/>
    <xf numFmtId="172" fontId="31" fillId="53" borderId="0" applyNumberFormat="0" applyBorder="0" applyAlignment="0" applyProtection="0"/>
    <xf numFmtId="171" fontId="31" fillId="53" borderId="0" applyNumberFormat="0" applyBorder="0" applyAlignment="0" applyProtection="0"/>
    <xf numFmtId="171" fontId="31" fillId="53" borderId="0" applyNumberFormat="0" applyBorder="0" applyAlignment="0" applyProtection="0"/>
    <xf numFmtId="172" fontId="31" fillId="53" borderId="0" applyNumberFormat="0" applyBorder="0" applyAlignment="0" applyProtection="0"/>
    <xf numFmtId="171"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71" fontId="31" fillId="57" borderId="0" applyNumberFormat="0" applyBorder="0" applyAlignment="0" applyProtection="0"/>
    <xf numFmtId="171" fontId="31" fillId="57" borderId="0" applyNumberFormat="0" applyBorder="0" applyAlignment="0" applyProtection="0"/>
    <xf numFmtId="172"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71" fontId="31" fillId="57" borderId="0" applyNumberFormat="0" applyBorder="0" applyAlignment="0" applyProtection="0"/>
    <xf numFmtId="172" fontId="31" fillId="57" borderId="0" applyNumberFormat="0" applyBorder="0" applyAlignment="0" applyProtection="0"/>
    <xf numFmtId="171" fontId="31" fillId="57" borderId="0" applyNumberFormat="0" applyBorder="0" applyAlignment="0" applyProtection="0"/>
    <xf numFmtId="171" fontId="31" fillId="57" borderId="0" applyNumberFormat="0" applyBorder="0" applyAlignment="0" applyProtection="0"/>
    <xf numFmtId="172" fontId="31" fillId="57" borderId="0" applyNumberFormat="0" applyBorder="0" applyAlignment="0" applyProtection="0"/>
    <xf numFmtId="171" fontId="31" fillId="57" borderId="0" applyNumberFormat="0" applyBorder="0" applyAlignment="0" applyProtection="0"/>
    <xf numFmtId="171" fontId="31" fillId="57" borderId="0" applyNumberFormat="0" applyBorder="0" applyAlignment="0" applyProtection="0"/>
    <xf numFmtId="172" fontId="31" fillId="57" borderId="0" applyNumberFormat="0" applyBorder="0" applyAlignment="0" applyProtection="0"/>
    <xf numFmtId="171" fontId="31" fillId="57" borderId="0" applyNumberFormat="0" applyBorder="0" applyAlignment="0" applyProtection="0"/>
    <xf numFmtId="171" fontId="31" fillId="57" borderId="0" applyNumberFormat="0" applyBorder="0" applyAlignment="0" applyProtection="0"/>
    <xf numFmtId="172" fontId="31" fillId="57" borderId="0" applyNumberFormat="0" applyBorder="0" applyAlignment="0" applyProtection="0"/>
    <xf numFmtId="171"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71" fontId="31" fillId="59" borderId="0" applyNumberFormat="0" applyBorder="0" applyAlignment="0" applyProtection="0"/>
    <xf numFmtId="171" fontId="31" fillId="59" borderId="0" applyNumberFormat="0" applyBorder="0" applyAlignment="0" applyProtection="0"/>
    <xf numFmtId="172"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71" fontId="31" fillId="59" borderId="0" applyNumberFormat="0" applyBorder="0" applyAlignment="0" applyProtection="0"/>
    <xf numFmtId="172" fontId="31" fillId="59" borderId="0" applyNumberFormat="0" applyBorder="0" applyAlignment="0" applyProtection="0"/>
    <xf numFmtId="171" fontId="31" fillId="59" borderId="0" applyNumberFormat="0" applyBorder="0" applyAlignment="0" applyProtection="0"/>
    <xf numFmtId="171" fontId="31" fillId="59" borderId="0" applyNumberFormat="0" applyBorder="0" applyAlignment="0" applyProtection="0"/>
    <xf numFmtId="172" fontId="31" fillId="59" borderId="0" applyNumberFormat="0" applyBorder="0" applyAlignment="0" applyProtection="0"/>
    <xf numFmtId="171" fontId="31" fillId="59" borderId="0" applyNumberFormat="0" applyBorder="0" applyAlignment="0" applyProtection="0"/>
    <xf numFmtId="171" fontId="31" fillId="59" borderId="0" applyNumberFormat="0" applyBorder="0" applyAlignment="0" applyProtection="0"/>
    <xf numFmtId="172" fontId="31" fillId="59" borderId="0" applyNumberFormat="0" applyBorder="0" applyAlignment="0" applyProtection="0"/>
    <xf numFmtId="171" fontId="31" fillId="59" borderId="0" applyNumberFormat="0" applyBorder="0" applyAlignment="0" applyProtection="0"/>
    <xf numFmtId="171" fontId="31" fillId="59" borderId="0" applyNumberFormat="0" applyBorder="0" applyAlignment="0" applyProtection="0"/>
    <xf numFmtId="172" fontId="31" fillId="59" borderId="0" applyNumberFormat="0" applyBorder="0" applyAlignment="0" applyProtection="0"/>
    <xf numFmtId="171"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71" fontId="31" fillId="48" borderId="0" applyNumberFormat="0" applyBorder="0" applyAlignment="0" applyProtection="0"/>
    <xf numFmtId="171" fontId="31" fillId="48" borderId="0" applyNumberFormat="0" applyBorder="0" applyAlignment="0" applyProtection="0"/>
    <xf numFmtId="172"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71" fontId="31" fillId="48" borderId="0" applyNumberFormat="0" applyBorder="0" applyAlignment="0" applyProtection="0"/>
    <xf numFmtId="172" fontId="31" fillId="48" borderId="0" applyNumberFormat="0" applyBorder="0" applyAlignment="0" applyProtection="0"/>
    <xf numFmtId="171" fontId="31" fillId="48" borderId="0" applyNumberFormat="0" applyBorder="0" applyAlignment="0" applyProtection="0"/>
    <xf numFmtId="171" fontId="31" fillId="48" borderId="0" applyNumberFormat="0" applyBorder="0" applyAlignment="0" applyProtection="0"/>
    <xf numFmtId="172" fontId="31" fillId="48" borderId="0" applyNumberFormat="0" applyBorder="0" applyAlignment="0" applyProtection="0"/>
    <xf numFmtId="171" fontId="31" fillId="48" borderId="0" applyNumberFormat="0" applyBorder="0" applyAlignment="0" applyProtection="0"/>
    <xf numFmtId="171" fontId="31" fillId="48" borderId="0" applyNumberFormat="0" applyBorder="0" applyAlignment="0" applyProtection="0"/>
    <xf numFmtId="172" fontId="31" fillId="48" borderId="0" applyNumberFormat="0" applyBorder="0" applyAlignment="0" applyProtection="0"/>
    <xf numFmtId="171" fontId="31" fillId="48" borderId="0" applyNumberFormat="0" applyBorder="0" applyAlignment="0" applyProtection="0"/>
    <xf numFmtId="171" fontId="31" fillId="48" borderId="0" applyNumberFormat="0" applyBorder="0" applyAlignment="0" applyProtection="0"/>
    <xf numFmtId="172" fontId="31" fillId="48" borderId="0" applyNumberFormat="0" applyBorder="0" applyAlignment="0" applyProtection="0"/>
    <xf numFmtId="171"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71" fontId="31" fillId="49" borderId="0" applyNumberFormat="0" applyBorder="0" applyAlignment="0" applyProtection="0"/>
    <xf numFmtId="171" fontId="31" fillId="49" borderId="0" applyNumberFormat="0" applyBorder="0" applyAlignment="0" applyProtection="0"/>
    <xf numFmtId="172"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71" fontId="31" fillId="49" borderId="0" applyNumberFormat="0" applyBorder="0" applyAlignment="0" applyProtection="0"/>
    <xf numFmtId="172" fontId="31" fillId="49" borderId="0" applyNumberFormat="0" applyBorder="0" applyAlignment="0" applyProtection="0"/>
    <xf numFmtId="171" fontId="31" fillId="49" borderId="0" applyNumberFormat="0" applyBorder="0" applyAlignment="0" applyProtection="0"/>
    <xf numFmtId="171" fontId="31" fillId="49" borderId="0" applyNumberFormat="0" applyBorder="0" applyAlignment="0" applyProtection="0"/>
    <xf numFmtId="172" fontId="31" fillId="49" borderId="0" applyNumberFormat="0" applyBorder="0" applyAlignment="0" applyProtection="0"/>
    <xf numFmtId="171" fontId="31" fillId="49" borderId="0" applyNumberFormat="0" applyBorder="0" applyAlignment="0" applyProtection="0"/>
    <xf numFmtId="171" fontId="31" fillId="49" borderId="0" applyNumberFormat="0" applyBorder="0" applyAlignment="0" applyProtection="0"/>
    <xf numFmtId="172" fontId="31" fillId="49" borderId="0" applyNumberFormat="0" applyBorder="0" applyAlignment="0" applyProtection="0"/>
    <xf numFmtId="171" fontId="31" fillId="49" borderId="0" applyNumberFormat="0" applyBorder="0" applyAlignment="0" applyProtection="0"/>
    <xf numFmtId="171" fontId="31" fillId="49" borderId="0" applyNumberFormat="0" applyBorder="0" applyAlignment="0" applyProtection="0"/>
    <xf numFmtId="172" fontId="31" fillId="49" borderId="0" applyNumberFormat="0" applyBorder="0" applyAlignment="0" applyProtection="0"/>
    <xf numFmtId="171"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71" fontId="31" fillId="62" borderId="0" applyNumberFormat="0" applyBorder="0" applyAlignment="0" applyProtection="0"/>
    <xf numFmtId="171" fontId="31" fillId="62" borderId="0" applyNumberFormat="0" applyBorder="0" applyAlignment="0" applyProtection="0"/>
    <xf numFmtId="172"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71" fontId="31" fillId="62" borderId="0" applyNumberFormat="0" applyBorder="0" applyAlignment="0" applyProtection="0"/>
    <xf numFmtId="172" fontId="31" fillId="62" borderId="0" applyNumberFormat="0" applyBorder="0" applyAlignment="0" applyProtection="0"/>
    <xf numFmtId="171" fontId="31" fillId="62" borderId="0" applyNumberFormat="0" applyBorder="0" applyAlignment="0" applyProtection="0"/>
    <xf numFmtId="171" fontId="31" fillId="62" borderId="0" applyNumberFormat="0" applyBorder="0" applyAlignment="0" applyProtection="0"/>
    <xf numFmtId="172" fontId="31" fillId="62" borderId="0" applyNumberFormat="0" applyBorder="0" applyAlignment="0" applyProtection="0"/>
    <xf numFmtId="171" fontId="31" fillId="62" borderId="0" applyNumberFormat="0" applyBorder="0" applyAlignment="0" applyProtection="0"/>
    <xf numFmtId="171" fontId="31" fillId="62" borderId="0" applyNumberFormat="0" applyBorder="0" applyAlignment="0" applyProtection="0"/>
    <xf numFmtId="172" fontId="31" fillId="62" borderId="0" applyNumberFormat="0" applyBorder="0" applyAlignment="0" applyProtection="0"/>
    <xf numFmtId="171" fontId="31" fillId="62" borderId="0" applyNumberFormat="0" applyBorder="0" applyAlignment="0" applyProtection="0"/>
    <xf numFmtId="171" fontId="31" fillId="62" borderId="0" applyNumberFormat="0" applyBorder="0" applyAlignment="0" applyProtection="0"/>
    <xf numFmtId="172" fontId="31" fillId="62" borderId="0" applyNumberFormat="0" applyBorder="0" applyAlignment="0" applyProtection="0"/>
    <xf numFmtId="171"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71" fontId="34" fillId="38" borderId="0" applyNumberFormat="0" applyBorder="0" applyAlignment="0" applyProtection="0"/>
    <xf numFmtId="171" fontId="34" fillId="38" borderId="0" applyNumberFormat="0" applyBorder="0" applyAlignment="0" applyProtection="0"/>
    <xf numFmtId="172"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71" fontId="34" fillId="38" borderId="0" applyNumberFormat="0" applyBorder="0" applyAlignment="0" applyProtection="0"/>
    <xf numFmtId="172" fontId="34" fillId="38" borderId="0" applyNumberFormat="0" applyBorder="0" applyAlignment="0" applyProtection="0"/>
    <xf numFmtId="171" fontId="34" fillId="38" borderId="0" applyNumberFormat="0" applyBorder="0" applyAlignment="0" applyProtection="0"/>
    <xf numFmtId="171" fontId="34" fillId="38" borderId="0" applyNumberFormat="0" applyBorder="0" applyAlignment="0" applyProtection="0"/>
    <xf numFmtId="172" fontId="34" fillId="38" borderId="0" applyNumberFormat="0" applyBorder="0" applyAlignment="0" applyProtection="0"/>
    <xf numFmtId="171" fontId="34" fillId="38" borderId="0" applyNumberFormat="0" applyBorder="0" applyAlignment="0" applyProtection="0"/>
    <xf numFmtId="171" fontId="34" fillId="38" borderId="0" applyNumberFormat="0" applyBorder="0" applyAlignment="0" applyProtection="0"/>
    <xf numFmtId="172" fontId="34" fillId="38" borderId="0" applyNumberFormat="0" applyBorder="0" applyAlignment="0" applyProtection="0"/>
    <xf numFmtId="171" fontId="34" fillId="38" borderId="0" applyNumberFormat="0" applyBorder="0" applyAlignment="0" applyProtection="0"/>
    <xf numFmtId="171" fontId="34" fillId="38" borderId="0" applyNumberFormat="0" applyBorder="0" applyAlignment="0" applyProtection="0"/>
    <xf numFmtId="172" fontId="34" fillId="38" borderId="0" applyNumberFormat="0" applyBorder="0" applyAlignment="0" applyProtection="0"/>
    <xf numFmtId="171" fontId="34" fillId="38" borderId="0" applyNumberFormat="0" applyBorder="0" applyAlignment="0" applyProtection="0"/>
    <xf numFmtId="0" fontId="32" fillId="38" borderId="0" applyNumberFormat="0" applyBorder="0" applyAlignment="0" applyProtection="0"/>
    <xf numFmtId="173" fontId="35" fillId="0" borderId="0" applyFill="0" applyBorder="0" applyAlignment="0"/>
    <xf numFmtId="173" fontId="36" fillId="0" borderId="0" applyFill="0" applyBorder="0" applyAlignment="0"/>
    <xf numFmtId="173" fontId="36" fillId="0" borderId="0" applyFill="0" applyBorder="0" applyAlignment="0"/>
    <xf numFmtId="173" fontId="36" fillId="0" borderId="0" applyFill="0" applyBorder="0" applyAlignment="0"/>
    <xf numFmtId="174" fontId="37" fillId="0" borderId="0" applyFill="0" applyBorder="0" applyAlignment="0"/>
    <xf numFmtId="174" fontId="37" fillId="0" borderId="0" applyFill="0" applyBorder="0" applyAlignment="0"/>
    <xf numFmtId="173" fontId="36" fillId="0" borderId="0" applyFill="0" applyBorder="0" applyAlignment="0"/>
    <xf numFmtId="173" fontId="36" fillId="0" borderId="0" applyFill="0" applyBorder="0" applyAlignment="0"/>
    <xf numFmtId="173" fontId="36" fillId="0" borderId="0" applyFill="0" applyBorder="0" applyAlignment="0"/>
    <xf numFmtId="173" fontId="36" fillId="0" borderId="0" applyFill="0" applyBorder="0" applyAlignment="0"/>
    <xf numFmtId="173" fontId="36" fillId="0" borderId="0" applyFill="0" applyBorder="0" applyAlignment="0"/>
    <xf numFmtId="173" fontId="36" fillId="0" borderId="0" applyFill="0" applyBorder="0" applyAlignment="0"/>
    <xf numFmtId="175" fontId="37" fillId="0" borderId="0" applyFill="0" applyBorder="0" applyAlignment="0"/>
    <xf numFmtId="176" fontId="37" fillId="0" borderId="0" applyFill="0" applyBorder="0" applyAlignment="0"/>
    <xf numFmtId="177" fontId="37" fillId="0" borderId="0" applyFill="0" applyBorder="0" applyAlignment="0"/>
    <xf numFmtId="178" fontId="37" fillId="0" borderId="0" applyFill="0" applyBorder="0" applyAlignment="0"/>
    <xf numFmtId="174" fontId="37" fillId="0" borderId="0" applyFill="0" applyBorder="0" applyAlignment="0"/>
    <xf numFmtId="179" fontId="37" fillId="0" borderId="0" applyFill="0" applyBorder="0" applyAlignment="0"/>
    <xf numFmtId="175" fontId="37" fillId="0" borderId="0" applyFill="0" applyBorder="0" applyAlignment="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171" fontId="40"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171" fontId="40"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172" fontId="40"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171" fontId="40" fillId="63" borderId="36" applyNumberFormat="0" applyAlignment="0" applyProtection="0"/>
    <xf numFmtId="172" fontId="40" fillId="63" borderId="36" applyNumberFormat="0" applyAlignment="0" applyProtection="0"/>
    <xf numFmtId="171" fontId="40" fillId="63" borderId="36" applyNumberFormat="0" applyAlignment="0" applyProtection="0"/>
    <xf numFmtId="171" fontId="40" fillId="63" borderId="36" applyNumberFormat="0" applyAlignment="0" applyProtection="0"/>
    <xf numFmtId="172" fontId="40" fillId="63" borderId="36" applyNumberFormat="0" applyAlignment="0" applyProtection="0"/>
    <xf numFmtId="171" fontId="40" fillId="63" borderId="36" applyNumberFormat="0" applyAlignment="0" applyProtection="0"/>
    <xf numFmtId="171" fontId="40" fillId="63" borderId="36" applyNumberFormat="0" applyAlignment="0" applyProtection="0"/>
    <xf numFmtId="172" fontId="40" fillId="63" borderId="36" applyNumberFormat="0" applyAlignment="0" applyProtection="0"/>
    <xf numFmtId="171" fontId="40" fillId="63" borderId="36" applyNumberFormat="0" applyAlignment="0" applyProtection="0"/>
    <xf numFmtId="171" fontId="40" fillId="63" borderId="36" applyNumberFormat="0" applyAlignment="0" applyProtection="0"/>
    <xf numFmtId="172" fontId="40" fillId="63" borderId="36" applyNumberFormat="0" applyAlignment="0" applyProtection="0"/>
    <xf numFmtId="171" fontId="40" fillId="63" borderId="36" applyNumberFormat="0" applyAlignment="0" applyProtection="0"/>
    <xf numFmtId="0" fontId="38" fillId="63" borderId="36" applyNumberFormat="0" applyAlignment="0" applyProtection="0"/>
    <xf numFmtId="0" fontId="41" fillId="64" borderId="37" applyNumberFormat="0" applyAlignment="0" applyProtection="0"/>
    <xf numFmtId="0" fontId="42" fillId="9" borderId="32" applyNumberFormat="0" applyAlignment="0" applyProtection="0"/>
    <xf numFmtId="171"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0" fontId="41"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0" fontId="42" fillId="9" borderId="32"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0" fontId="41" fillId="64" borderId="37"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4"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80" fontId="1" fillId="0" borderId="0" applyFont="0" applyFill="0" applyBorder="0" applyAlignment="0" applyProtection="0"/>
    <xf numFmtId="180"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27" fillId="0" borderId="0" applyFont="0" applyFill="0" applyBorder="0" applyAlignment="0" applyProtection="0"/>
    <xf numFmtId="166" fontId="8" fillId="0" borderId="0" applyFont="0" applyFill="0" applyBorder="0" applyAlignment="0" applyProtection="0"/>
    <xf numFmtId="43" fontId="27" fillId="0" borderId="0" applyFont="0" applyFill="0" applyBorder="0" applyAlignment="0" applyProtection="0"/>
    <xf numFmtId="166" fontId="8" fillId="0" borderId="0" applyFont="0" applyFill="0" applyBorder="0" applyAlignment="0" applyProtection="0"/>
    <xf numFmtId="181" fontId="27"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27" fillId="0" borderId="0" applyFont="0" applyFill="0" applyBorder="0" applyAlignment="0" applyProtection="0"/>
    <xf numFmtId="166" fontId="8" fillId="0" borderId="0" applyFont="0" applyFill="0" applyBorder="0" applyAlignment="0" applyProtection="0"/>
    <xf numFmtId="181" fontId="27"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4" fontId="2" fillId="0" borderId="0" applyFont="0" applyFill="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5" fontId="37"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45" fillId="0" borderId="0"/>
    <xf numFmtId="14" fontId="46" fillId="0" borderId="0" applyFill="0" applyBorder="0" applyAlignment="0"/>
    <xf numFmtId="38" fontId="26" fillId="0" borderId="38">
      <alignment vertical="center"/>
    </xf>
    <xf numFmtId="38" fontId="26" fillId="0" borderId="38">
      <alignment vertical="center"/>
    </xf>
    <xf numFmtId="38" fontId="26" fillId="0" borderId="38">
      <alignment vertical="center"/>
    </xf>
    <xf numFmtId="38" fontId="26" fillId="0" borderId="38">
      <alignment vertical="center"/>
    </xf>
    <xf numFmtId="38" fontId="26" fillId="0" borderId="38">
      <alignment vertical="center"/>
    </xf>
    <xf numFmtId="38" fontId="26" fillId="0" borderId="38">
      <alignment vertical="center"/>
    </xf>
    <xf numFmtId="38" fontId="26" fillId="0" borderId="38">
      <alignment vertical="center"/>
    </xf>
    <xf numFmtId="38" fontId="26" fillId="0" borderId="0" applyFont="0" applyFill="0" applyBorder="0" applyAlignment="0" applyProtection="0"/>
    <xf numFmtId="183"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4" fontId="37" fillId="0" borderId="0" applyFill="0" applyBorder="0" applyAlignment="0"/>
    <xf numFmtId="175" fontId="37" fillId="0" borderId="0" applyFill="0" applyBorder="0" applyAlignment="0"/>
    <xf numFmtId="174" fontId="37" fillId="0" borderId="0" applyFill="0" applyBorder="0" applyAlignment="0"/>
    <xf numFmtId="179" fontId="37" fillId="0" borderId="0" applyFill="0" applyBorder="0" applyAlignment="0"/>
    <xf numFmtId="175" fontId="37" fillId="0" borderId="0" applyFill="0" applyBorder="0" applyAlignment="0"/>
    <xf numFmtId="171"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71" fontId="50" fillId="0" borderId="0" applyNumberFormat="0" applyFill="0" applyBorder="0" applyAlignment="0" applyProtection="0"/>
    <xf numFmtId="171" fontId="50" fillId="0" borderId="0" applyNumberFormat="0" applyFill="0" applyBorder="0" applyAlignment="0" applyProtection="0"/>
    <xf numFmtId="172"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71" fontId="50" fillId="0" borderId="0" applyNumberFormat="0" applyFill="0" applyBorder="0" applyAlignment="0" applyProtection="0"/>
    <xf numFmtId="172" fontId="50" fillId="0" borderId="0" applyNumberFormat="0" applyFill="0" applyBorder="0" applyAlignment="0" applyProtection="0"/>
    <xf numFmtId="171" fontId="50" fillId="0" borderId="0" applyNumberFormat="0" applyFill="0" applyBorder="0" applyAlignment="0" applyProtection="0"/>
    <xf numFmtId="171" fontId="50" fillId="0" borderId="0" applyNumberFormat="0" applyFill="0" applyBorder="0" applyAlignment="0" applyProtection="0"/>
    <xf numFmtId="172" fontId="50" fillId="0" borderId="0" applyNumberFormat="0" applyFill="0" applyBorder="0" applyAlignment="0" applyProtection="0"/>
    <xf numFmtId="171" fontId="50" fillId="0" borderId="0" applyNumberFormat="0" applyFill="0" applyBorder="0" applyAlignment="0" applyProtection="0"/>
    <xf numFmtId="171" fontId="50" fillId="0" borderId="0" applyNumberFormat="0" applyFill="0" applyBorder="0" applyAlignment="0" applyProtection="0"/>
    <xf numFmtId="172" fontId="50" fillId="0" borderId="0" applyNumberFormat="0" applyFill="0" applyBorder="0" applyAlignment="0" applyProtection="0"/>
    <xf numFmtId="171" fontId="50" fillId="0" borderId="0" applyNumberFormat="0" applyFill="0" applyBorder="0" applyAlignment="0" applyProtection="0"/>
    <xf numFmtId="171" fontId="50" fillId="0" borderId="0" applyNumberFormat="0" applyFill="0" applyBorder="0" applyAlignment="0" applyProtection="0"/>
    <xf numFmtId="172" fontId="50" fillId="0" borderId="0" applyNumberFormat="0" applyFill="0" applyBorder="0" applyAlignment="0" applyProtection="0"/>
    <xf numFmtId="171" fontId="50" fillId="0" borderId="0" applyNumberFormat="0" applyFill="0" applyBorder="0" applyAlignment="0" applyProtection="0"/>
    <xf numFmtId="0" fontId="48" fillId="0" borderId="0" applyNumberFormat="0" applyFill="0" applyBorder="0" applyAlignment="0" applyProtection="0"/>
    <xf numFmtId="171" fontId="2" fillId="0" borderId="0"/>
    <xf numFmtId="0" fontId="2" fillId="0" borderId="0"/>
    <xf numFmtId="171"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71" fontId="53" fillId="39" borderId="0" applyNumberFormat="0" applyBorder="0" applyAlignment="0" applyProtection="0"/>
    <xf numFmtId="171" fontId="53" fillId="39" borderId="0" applyNumberFormat="0" applyBorder="0" applyAlignment="0" applyProtection="0"/>
    <xf numFmtId="172"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71" fontId="53" fillId="39" borderId="0" applyNumberFormat="0" applyBorder="0" applyAlignment="0" applyProtection="0"/>
    <xf numFmtId="172" fontId="53" fillId="39" borderId="0" applyNumberFormat="0" applyBorder="0" applyAlignment="0" applyProtection="0"/>
    <xf numFmtId="171" fontId="53" fillId="39" borderId="0" applyNumberFormat="0" applyBorder="0" applyAlignment="0" applyProtection="0"/>
    <xf numFmtId="171" fontId="53" fillId="39" borderId="0" applyNumberFormat="0" applyBorder="0" applyAlignment="0" applyProtection="0"/>
    <xf numFmtId="172" fontId="53" fillId="39" borderId="0" applyNumberFormat="0" applyBorder="0" applyAlignment="0" applyProtection="0"/>
    <xf numFmtId="171" fontId="53" fillId="39" borderId="0" applyNumberFormat="0" applyBorder="0" applyAlignment="0" applyProtection="0"/>
    <xf numFmtId="171" fontId="53" fillId="39" borderId="0" applyNumberFormat="0" applyBorder="0" applyAlignment="0" applyProtection="0"/>
    <xf numFmtId="172" fontId="53" fillId="39" borderId="0" applyNumberFormat="0" applyBorder="0" applyAlignment="0" applyProtection="0"/>
    <xf numFmtId="171" fontId="53" fillId="39" borderId="0" applyNumberFormat="0" applyBorder="0" applyAlignment="0" applyProtection="0"/>
    <xf numFmtId="171" fontId="53" fillId="39" borderId="0" applyNumberFormat="0" applyBorder="0" applyAlignment="0" applyProtection="0"/>
    <xf numFmtId="172" fontId="53" fillId="39" borderId="0" applyNumberFormat="0" applyBorder="0" applyAlignment="0" applyProtection="0"/>
    <xf numFmtId="171"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8" applyNumberFormat="0" applyAlignment="0" applyProtection="0">
      <alignment horizontal="left" vertical="center"/>
    </xf>
    <xf numFmtId="0" fontId="54" fillId="0" borderId="28" applyNumberFormat="0" applyAlignment="0" applyProtection="0">
      <alignment horizontal="left" vertical="center"/>
    </xf>
    <xf numFmtId="171" fontId="54" fillId="0" borderId="28" applyNumberFormat="0" applyAlignment="0" applyProtection="0">
      <alignment horizontal="left" vertical="center"/>
    </xf>
    <xf numFmtId="0" fontId="54" fillId="0" borderId="9">
      <alignment horizontal="left" vertical="center"/>
    </xf>
    <xf numFmtId="0" fontId="54" fillId="0" borderId="9">
      <alignment horizontal="left" vertical="center"/>
    </xf>
    <xf numFmtId="171" fontId="54" fillId="0" borderId="9">
      <alignment horizontal="left" vertical="center"/>
    </xf>
    <xf numFmtId="0" fontId="55" fillId="0" borderId="39" applyNumberFormat="0" applyFill="0" applyAlignment="0" applyProtection="0"/>
    <xf numFmtId="172" fontId="55" fillId="0" borderId="39" applyNumberFormat="0" applyFill="0" applyAlignment="0" applyProtection="0"/>
    <xf numFmtId="0" fontId="55" fillId="0" borderId="39" applyNumberFormat="0" applyFill="0" applyAlignment="0" applyProtection="0"/>
    <xf numFmtId="171" fontId="55" fillId="0" borderId="39" applyNumberFormat="0" applyFill="0" applyAlignment="0" applyProtection="0"/>
    <xf numFmtId="171" fontId="55" fillId="0" borderId="39" applyNumberFormat="0" applyFill="0" applyAlignment="0" applyProtection="0"/>
    <xf numFmtId="171" fontId="55" fillId="0" borderId="39" applyNumberFormat="0" applyFill="0" applyAlignment="0" applyProtection="0"/>
    <xf numFmtId="172" fontId="55" fillId="0" borderId="39" applyNumberFormat="0" applyFill="0" applyAlignment="0" applyProtection="0"/>
    <xf numFmtId="171" fontId="55" fillId="0" borderId="39" applyNumberFormat="0" applyFill="0" applyAlignment="0" applyProtection="0"/>
    <xf numFmtId="171" fontId="55" fillId="0" borderId="39" applyNumberFormat="0" applyFill="0" applyAlignment="0" applyProtection="0"/>
    <xf numFmtId="172" fontId="55" fillId="0" borderId="39" applyNumberFormat="0" applyFill="0" applyAlignment="0" applyProtection="0"/>
    <xf numFmtId="171" fontId="55" fillId="0" borderId="39" applyNumberFormat="0" applyFill="0" applyAlignment="0" applyProtection="0"/>
    <xf numFmtId="171" fontId="55" fillId="0" borderId="39" applyNumberFormat="0" applyFill="0" applyAlignment="0" applyProtection="0"/>
    <xf numFmtId="172" fontId="55" fillId="0" borderId="39" applyNumberFormat="0" applyFill="0" applyAlignment="0" applyProtection="0"/>
    <xf numFmtId="171" fontId="55" fillId="0" borderId="39" applyNumberFormat="0" applyFill="0" applyAlignment="0" applyProtection="0"/>
    <xf numFmtId="171" fontId="55" fillId="0" borderId="39" applyNumberFormat="0" applyFill="0" applyAlignment="0" applyProtection="0"/>
    <xf numFmtId="172" fontId="55" fillId="0" borderId="39" applyNumberFormat="0" applyFill="0" applyAlignment="0" applyProtection="0"/>
    <xf numFmtId="171" fontId="55" fillId="0" borderId="39" applyNumberFormat="0" applyFill="0" applyAlignment="0" applyProtection="0"/>
    <xf numFmtId="0" fontId="55" fillId="0" borderId="39" applyNumberFormat="0" applyFill="0" applyAlignment="0" applyProtection="0"/>
    <xf numFmtId="0" fontId="56" fillId="0" borderId="40" applyNumberFormat="0" applyFill="0" applyAlignment="0" applyProtection="0"/>
    <xf numFmtId="172" fontId="56" fillId="0" borderId="40" applyNumberFormat="0" applyFill="0" applyAlignment="0" applyProtection="0"/>
    <xf numFmtId="0" fontId="56" fillId="0" borderId="40" applyNumberFormat="0" applyFill="0" applyAlignment="0" applyProtection="0"/>
    <xf numFmtId="171" fontId="56" fillId="0" borderId="40" applyNumberFormat="0" applyFill="0" applyAlignment="0" applyProtection="0"/>
    <xf numFmtId="171" fontId="56" fillId="0" borderId="40" applyNumberFormat="0" applyFill="0" applyAlignment="0" applyProtection="0"/>
    <xf numFmtId="171" fontId="56" fillId="0" borderId="40" applyNumberFormat="0" applyFill="0" applyAlignment="0" applyProtection="0"/>
    <xf numFmtId="172" fontId="56" fillId="0" borderId="40" applyNumberFormat="0" applyFill="0" applyAlignment="0" applyProtection="0"/>
    <xf numFmtId="171" fontId="56" fillId="0" borderId="40" applyNumberFormat="0" applyFill="0" applyAlignment="0" applyProtection="0"/>
    <xf numFmtId="171" fontId="56" fillId="0" borderId="40" applyNumberFormat="0" applyFill="0" applyAlignment="0" applyProtection="0"/>
    <xf numFmtId="172" fontId="56" fillId="0" borderId="40" applyNumberFormat="0" applyFill="0" applyAlignment="0" applyProtection="0"/>
    <xf numFmtId="171" fontId="56" fillId="0" borderId="40" applyNumberFormat="0" applyFill="0" applyAlignment="0" applyProtection="0"/>
    <xf numFmtId="171" fontId="56" fillId="0" borderId="40" applyNumberFormat="0" applyFill="0" applyAlignment="0" applyProtection="0"/>
    <xf numFmtId="172" fontId="56" fillId="0" borderId="40" applyNumberFormat="0" applyFill="0" applyAlignment="0" applyProtection="0"/>
    <xf numFmtId="171" fontId="56" fillId="0" borderId="40" applyNumberFormat="0" applyFill="0" applyAlignment="0" applyProtection="0"/>
    <xf numFmtId="171" fontId="56" fillId="0" borderId="40" applyNumberFormat="0" applyFill="0" applyAlignment="0" applyProtection="0"/>
    <xf numFmtId="172" fontId="56" fillId="0" borderId="40" applyNumberFormat="0" applyFill="0" applyAlignment="0" applyProtection="0"/>
    <xf numFmtId="171" fontId="56" fillId="0" borderId="40" applyNumberFormat="0" applyFill="0" applyAlignment="0" applyProtection="0"/>
    <xf numFmtId="0" fontId="56" fillId="0" borderId="40" applyNumberFormat="0" applyFill="0" applyAlignment="0" applyProtection="0"/>
    <xf numFmtId="0" fontId="57" fillId="0" borderId="41" applyNumberFormat="0" applyFill="0" applyAlignment="0" applyProtection="0"/>
    <xf numFmtId="172" fontId="57" fillId="0" borderId="41" applyNumberFormat="0" applyFill="0" applyAlignment="0" applyProtection="0"/>
    <xf numFmtId="0" fontId="57" fillId="0" borderId="41" applyNumberFormat="0" applyFill="0" applyAlignment="0" applyProtection="0"/>
    <xf numFmtId="171" fontId="57" fillId="0" borderId="41" applyNumberFormat="0" applyFill="0" applyAlignment="0" applyProtection="0"/>
    <xf numFmtId="0" fontId="57" fillId="0" borderId="41" applyNumberFormat="0" applyFill="0" applyAlignment="0" applyProtection="0"/>
    <xf numFmtId="171"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171" fontId="57" fillId="0" borderId="41" applyNumberFormat="0" applyFill="0" applyAlignment="0" applyProtection="0"/>
    <xf numFmtId="172" fontId="57" fillId="0" borderId="41" applyNumberFormat="0" applyFill="0" applyAlignment="0" applyProtection="0"/>
    <xf numFmtId="171" fontId="57" fillId="0" borderId="41" applyNumberFormat="0" applyFill="0" applyAlignment="0" applyProtection="0"/>
    <xf numFmtId="171" fontId="57" fillId="0" borderId="41" applyNumberFormat="0" applyFill="0" applyAlignment="0" applyProtection="0"/>
    <xf numFmtId="172" fontId="57" fillId="0" borderId="41" applyNumberFormat="0" applyFill="0" applyAlignment="0" applyProtection="0"/>
    <xf numFmtId="171" fontId="57" fillId="0" borderId="41" applyNumberFormat="0" applyFill="0" applyAlignment="0" applyProtection="0"/>
    <xf numFmtId="171" fontId="57" fillId="0" borderId="41" applyNumberFormat="0" applyFill="0" applyAlignment="0" applyProtection="0"/>
    <xf numFmtId="172" fontId="57" fillId="0" borderId="41" applyNumberFormat="0" applyFill="0" applyAlignment="0" applyProtection="0"/>
    <xf numFmtId="171" fontId="57" fillId="0" borderId="41" applyNumberFormat="0" applyFill="0" applyAlignment="0" applyProtection="0"/>
    <xf numFmtId="171" fontId="57" fillId="0" borderId="41" applyNumberFormat="0" applyFill="0" applyAlignment="0" applyProtection="0"/>
    <xf numFmtId="172" fontId="57" fillId="0" borderId="41" applyNumberFormat="0" applyFill="0" applyAlignment="0" applyProtection="0"/>
    <xf numFmtId="171" fontId="57" fillId="0" borderId="41" applyNumberFormat="0" applyFill="0" applyAlignment="0" applyProtection="0"/>
    <xf numFmtId="0" fontId="57" fillId="0" borderId="41" applyNumberFormat="0" applyFill="0" applyAlignment="0" applyProtection="0"/>
    <xf numFmtId="0" fontId="57" fillId="0" borderId="0" applyNumberFormat="0" applyFill="0" applyBorder="0" applyAlignment="0" applyProtection="0"/>
    <xf numFmtId="172" fontId="57" fillId="0" borderId="0" applyNumberFormat="0" applyFill="0" applyBorder="0" applyAlignment="0" applyProtection="0"/>
    <xf numFmtId="0" fontId="57" fillId="0" borderId="0" applyNumberFormat="0" applyFill="0" applyBorder="0" applyAlignment="0" applyProtection="0"/>
    <xf numFmtId="171" fontId="57" fillId="0" borderId="0" applyNumberFormat="0" applyFill="0" applyBorder="0" applyAlignment="0" applyProtection="0"/>
    <xf numFmtId="171" fontId="57" fillId="0" borderId="0" applyNumberFormat="0" applyFill="0" applyBorder="0" applyAlignment="0" applyProtection="0"/>
    <xf numFmtId="171" fontId="57" fillId="0" borderId="0" applyNumberFormat="0" applyFill="0" applyBorder="0" applyAlignment="0" applyProtection="0"/>
    <xf numFmtId="172" fontId="57" fillId="0" borderId="0" applyNumberFormat="0" applyFill="0" applyBorder="0" applyAlignment="0" applyProtection="0"/>
    <xf numFmtId="171" fontId="57" fillId="0" borderId="0" applyNumberFormat="0" applyFill="0" applyBorder="0" applyAlignment="0" applyProtection="0"/>
    <xf numFmtId="171" fontId="57" fillId="0" borderId="0" applyNumberFormat="0" applyFill="0" applyBorder="0" applyAlignment="0" applyProtection="0"/>
    <xf numFmtId="172" fontId="57" fillId="0" borderId="0" applyNumberFormat="0" applyFill="0" applyBorder="0" applyAlignment="0" applyProtection="0"/>
    <xf numFmtId="171" fontId="57" fillId="0" borderId="0" applyNumberFormat="0" applyFill="0" applyBorder="0" applyAlignment="0" applyProtection="0"/>
    <xf numFmtId="171" fontId="57" fillId="0" borderId="0" applyNumberFormat="0" applyFill="0" applyBorder="0" applyAlignment="0" applyProtection="0"/>
    <xf numFmtId="172" fontId="57" fillId="0" borderId="0" applyNumberFormat="0" applyFill="0" applyBorder="0" applyAlignment="0" applyProtection="0"/>
    <xf numFmtId="171" fontId="57" fillId="0" borderId="0" applyNumberFormat="0" applyFill="0" applyBorder="0" applyAlignment="0" applyProtection="0"/>
    <xf numFmtId="171" fontId="57" fillId="0" borderId="0" applyNumberFormat="0" applyFill="0" applyBorder="0" applyAlignment="0" applyProtection="0"/>
    <xf numFmtId="172" fontId="57" fillId="0" borderId="0" applyNumberFormat="0" applyFill="0" applyBorder="0" applyAlignment="0" applyProtection="0"/>
    <xf numFmtId="171" fontId="57" fillId="0" borderId="0" applyNumberFormat="0" applyFill="0" applyBorder="0" applyAlignment="0" applyProtection="0"/>
    <xf numFmtId="0" fontId="57" fillId="0" borderId="0" applyNumberFormat="0" applyFill="0" applyBorder="0" applyAlignment="0" applyProtection="0"/>
    <xf numFmtId="37" fontId="58" fillId="0" borderId="0"/>
    <xf numFmtId="171" fontId="59" fillId="0" borderId="0"/>
    <xf numFmtId="0" fontId="59" fillId="0" borderId="0"/>
    <xf numFmtId="171" fontId="59" fillId="0" borderId="0"/>
    <xf numFmtId="171" fontId="54" fillId="0" borderId="0"/>
    <xf numFmtId="0" fontId="54" fillId="0" borderId="0"/>
    <xf numFmtId="171" fontId="54" fillId="0" borderId="0"/>
    <xf numFmtId="171" fontId="60" fillId="0" borderId="0"/>
    <xf numFmtId="0" fontId="60" fillId="0" borderId="0"/>
    <xf numFmtId="171" fontId="60" fillId="0" borderId="0"/>
    <xf numFmtId="171" fontId="61" fillId="0" borderId="0"/>
    <xf numFmtId="0" fontId="61" fillId="0" borderId="0"/>
    <xf numFmtId="171" fontId="61" fillId="0" borderId="0"/>
    <xf numFmtId="171" fontId="62" fillId="0" borderId="0"/>
    <xf numFmtId="0" fontId="62" fillId="0" borderId="0"/>
    <xf numFmtId="171" fontId="62" fillId="0" borderId="0"/>
    <xf numFmtId="171" fontId="63" fillId="0" borderId="0"/>
    <xf numFmtId="0" fontId="63" fillId="0" borderId="0"/>
    <xf numFmtId="171"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71" fontId="2" fillId="0" borderId="0">
      <alignment horizontal="center"/>
    </xf>
    <xf numFmtId="0" fontId="2" fillId="0" borderId="0">
      <alignment horizontal="center"/>
    </xf>
    <xf numFmtId="171" fontId="2" fillId="0" borderId="0">
      <alignment horizontal="center"/>
    </xf>
    <xf numFmtId="171" fontId="64" fillId="0" borderId="0" applyNumberFormat="0" applyFill="0" applyBorder="0" applyAlignment="0" applyProtection="0">
      <alignment vertical="top"/>
      <protection locked="0"/>
    </xf>
    <xf numFmtId="172" fontId="64" fillId="0" borderId="0" applyNumberFormat="0" applyFill="0" applyBorder="0" applyAlignment="0" applyProtection="0">
      <alignment vertical="top"/>
      <protection locked="0"/>
    </xf>
    <xf numFmtId="171" fontId="64" fillId="0" borderId="0" applyNumberFormat="0" applyFill="0" applyBorder="0" applyAlignment="0" applyProtection="0">
      <alignment vertical="top"/>
      <protection locked="0"/>
    </xf>
    <xf numFmtId="171" fontId="65" fillId="0" borderId="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171" fontId="68"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171" fontId="68"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172" fontId="68"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171" fontId="68" fillId="42" borderId="36" applyNumberFormat="0" applyAlignment="0" applyProtection="0"/>
    <xf numFmtId="172" fontId="68" fillId="42" borderId="36" applyNumberFormat="0" applyAlignment="0" applyProtection="0"/>
    <xf numFmtId="171" fontId="68" fillId="42" borderId="36" applyNumberFormat="0" applyAlignment="0" applyProtection="0"/>
    <xf numFmtId="171" fontId="68" fillId="42" borderId="36" applyNumberFormat="0" applyAlignment="0" applyProtection="0"/>
    <xf numFmtId="172" fontId="68" fillId="42" borderId="36" applyNumberFormat="0" applyAlignment="0" applyProtection="0"/>
    <xf numFmtId="171" fontId="68" fillId="42" borderId="36" applyNumberFormat="0" applyAlignment="0" applyProtection="0"/>
    <xf numFmtId="171" fontId="68" fillId="42" borderId="36" applyNumberFormat="0" applyAlignment="0" applyProtection="0"/>
    <xf numFmtId="172" fontId="68" fillId="42" borderId="36" applyNumberFormat="0" applyAlignment="0" applyProtection="0"/>
    <xf numFmtId="171" fontId="68" fillId="42" borderId="36" applyNumberFormat="0" applyAlignment="0" applyProtection="0"/>
    <xf numFmtId="171" fontId="68" fillId="42" borderId="36" applyNumberFormat="0" applyAlignment="0" applyProtection="0"/>
    <xf numFmtId="172" fontId="68" fillId="42" borderId="36" applyNumberFormat="0" applyAlignment="0" applyProtection="0"/>
    <xf numFmtId="171" fontId="68" fillId="42" borderId="36" applyNumberFormat="0" applyAlignment="0" applyProtection="0"/>
    <xf numFmtId="0" fontId="66" fillId="42" borderId="36" applyNumberFormat="0" applyAlignment="0" applyProtection="0"/>
    <xf numFmtId="3" fontId="2" fillId="71" borderId="3" applyFont="0">
      <alignment horizontal="right" vertical="center"/>
      <protection locked="0"/>
    </xf>
    <xf numFmtId="174" fontId="37" fillId="0" borderId="0" applyFill="0" applyBorder="0" applyAlignment="0"/>
    <xf numFmtId="175" fontId="37" fillId="0" borderId="0" applyFill="0" applyBorder="0" applyAlignment="0"/>
    <xf numFmtId="174" fontId="37" fillId="0" borderId="0" applyFill="0" applyBorder="0" applyAlignment="0"/>
    <xf numFmtId="179" fontId="37" fillId="0" borderId="0" applyFill="0" applyBorder="0" applyAlignment="0"/>
    <xf numFmtId="175" fontId="37" fillId="0" borderId="0" applyFill="0" applyBorder="0" applyAlignment="0"/>
    <xf numFmtId="0" fontId="69" fillId="0" borderId="42" applyNumberFormat="0" applyFill="0" applyAlignment="0" applyProtection="0"/>
    <xf numFmtId="0" fontId="70" fillId="0" borderId="31" applyNumberFormat="0" applyFill="0" applyAlignment="0" applyProtection="0"/>
    <xf numFmtId="171" fontId="71" fillId="0" borderId="42" applyNumberFormat="0" applyFill="0" applyAlignment="0" applyProtection="0"/>
    <xf numFmtId="171" fontId="71" fillId="0" borderId="42" applyNumberFormat="0" applyFill="0" applyAlignment="0" applyProtection="0"/>
    <xf numFmtId="172" fontId="71" fillId="0" borderId="42" applyNumberFormat="0" applyFill="0" applyAlignment="0" applyProtection="0"/>
    <xf numFmtId="0" fontId="69" fillId="0" borderId="42"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171" fontId="71" fillId="0" borderId="42" applyNumberFormat="0" applyFill="0" applyAlignment="0" applyProtection="0"/>
    <xf numFmtId="172" fontId="71" fillId="0" borderId="42" applyNumberFormat="0" applyFill="0" applyAlignment="0" applyProtection="0"/>
    <xf numFmtId="171" fontId="71" fillId="0" borderId="42" applyNumberFormat="0" applyFill="0" applyAlignment="0" applyProtection="0"/>
    <xf numFmtId="171" fontId="71" fillId="0" borderId="42" applyNumberFormat="0" applyFill="0" applyAlignment="0" applyProtection="0"/>
    <xf numFmtId="172" fontId="71" fillId="0" borderId="42" applyNumberFormat="0" applyFill="0" applyAlignment="0" applyProtection="0"/>
    <xf numFmtId="171" fontId="71" fillId="0" borderId="42" applyNumberFormat="0" applyFill="0" applyAlignment="0" applyProtection="0"/>
    <xf numFmtId="171" fontId="71" fillId="0" borderId="42" applyNumberFormat="0" applyFill="0" applyAlignment="0" applyProtection="0"/>
    <xf numFmtId="172" fontId="71" fillId="0" borderId="42" applyNumberFormat="0" applyFill="0" applyAlignment="0" applyProtection="0"/>
    <xf numFmtId="171" fontId="71" fillId="0" borderId="42" applyNumberFormat="0" applyFill="0" applyAlignment="0" applyProtection="0"/>
    <xf numFmtId="171" fontId="71" fillId="0" borderId="42" applyNumberFormat="0" applyFill="0" applyAlignment="0" applyProtection="0"/>
    <xf numFmtId="172" fontId="71" fillId="0" borderId="42" applyNumberFormat="0" applyFill="0" applyAlignment="0" applyProtection="0"/>
    <xf numFmtId="171" fontId="71" fillId="0" borderId="42" applyNumberFormat="0" applyFill="0" applyAlignment="0" applyProtection="0"/>
    <xf numFmtId="0" fontId="69" fillId="0" borderId="42" applyNumberFormat="0" applyFill="0" applyAlignment="0" applyProtection="0"/>
    <xf numFmtId="171" fontId="2" fillId="0" borderId="0">
      <alignment horizontal="center"/>
    </xf>
    <xf numFmtId="0" fontId="2" fillId="0" borderId="0">
      <alignment horizontal="center"/>
    </xf>
    <xf numFmtId="171" fontId="2" fillId="0" borderId="0">
      <alignment horizontal="center"/>
    </xf>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71" fontId="74" fillId="72" borderId="0" applyNumberFormat="0" applyBorder="0" applyAlignment="0" applyProtection="0"/>
    <xf numFmtId="171" fontId="74" fillId="72" borderId="0" applyNumberFormat="0" applyBorder="0" applyAlignment="0" applyProtection="0"/>
    <xf numFmtId="172"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71" fontId="74" fillId="72" borderId="0" applyNumberFormat="0" applyBorder="0" applyAlignment="0" applyProtection="0"/>
    <xf numFmtId="172" fontId="74" fillId="72" borderId="0" applyNumberFormat="0" applyBorder="0" applyAlignment="0" applyProtection="0"/>
    <xf numFmtId="171" fontId="74" fillId="72" borderId="0" applyNumberFormat="0" applyBorder="0" applyAlignment="0" applyProtection="0"/>
    <xf numFmtId="171" fontId="74" fillId="72" borderId="0" applyNumberFormat="0" applyBorder="0" applyAlignment="0" applyProtection="0"/>
    <xf numFmtId="172" fontId="74" fillId="72" borderId="0" applyNumberFormat="0" applyBorder="0" applyAlignment="0" applyProtection="0"/>
    <xf numFmtId="171" fontId="74" fillId="72" borderId="0" applyNumberFormat="0" applyBorder="0" applyAlignment="0" applyProtection="0"/>
    <xf numFmtId="171" fontId="74" fillId="72" borderId="0" applyNumberFormat="0" applyBorder="0" applyAlignment="0" applyProtection="0"/>
    <xf numFmtId="172" fontId="74" fillId="72" borderId="0" applyNumberFormat="0" applyBorder="0" applyAlignment="0" applyProtection="0"/>
    <xf numFmtId="171" fontId="74" fillId="72" borderId="0" applyNumberFormat="0" applyBorder="0" applyAlignment="0" applyProtection="0"/>
    <xf numFmtId="171" fontId="74" fillId="72" borderId="0" applyNumberFormat="0" applyBorder="0" applyAlignment="0" applyProtection="0"/>
    <xf numFmtId="172" fontId="74" fillId="72" borderId="0" applyNumberFormat="0" applyBorder="0" applyAlignment="0" applyProtection="0"/>
    <xf numFmtId="171" fontId="74" fillId="72" borderId="0" applyNumberFormat="0" applyBorder="0" applyAlignment="0" applyProtection="0"/>
    <xf numFmtId="0" fontId="72" fillId="72" borderId="0" applyNumberFormat="0" applyBorder="0" applyAlignment="0" applyProtection="0"/>
    <xf numFmtId="1" fontId="75" fillId="0" borderId="0" applyProtection="0"/>
    <xf numFmtId="171" fontId="26" fillId="0" borderId="43"/>
    <xf numFmtId="172" fontId="26" fillId="0" borderId="43"/>
    <xf numFmtId="171" fontId="26" fillId="0" borderId="43"/>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4"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76" fillId="0" borderId="0"/>
    <xf numFmtId="184" fontId="2" fillId="0" borderId="0"/>
    <xf numFmtId="182" fontId="28" fillId="0" borderId="0"/>
    <xf numFmtId="0" fontId="76"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7" fillId="0" borderId="0"/>
    <xf numFmtId="0" fontId="77" fillId="0" borderId="0"/>
    <xf numFmtId="0" fontId="76" fillId="0" borderId="0"/>
    <xf numFmtId="182" fontId="28" fillId="0" borderId="0"/>
    <xf numFmtId="182" fontId="2" fillId="0" borderId="0"/>
    <xf numFmtId="182" fontId="2" fillId="0" borderId="0"/>
    <xf numFmtId="0" fontId="2" fillId="0" borderId="0"/>
    <xf numFmtId="0" fontId="2" fillId="0" borderId="0"/>
    <xf numFmtId="182"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8"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182" fontId="28"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8" fillId="0" borderId="0"/>
    <xf numFmtId="0" fontId="2" fillId="0" borderId="0"/>
    <xf numFmtId="171"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 fillId="0" borderId="0"/>
    <xf numFmtId="182" fontId="1" fillId="0" borderId="0"/>
    <xf numFmtId="182" fontId="1" fillId="0" borderId="0"/>
    <xf numFmtId="182" fontId="1" fillId="0" borderId="0"/>
    <xf numFmtId="182"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6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171" fontId="2" fillId="0" borderId="0"/>
    <xf numFmtId="182" fontId="2" fillId="0" borderId="0"/>
    <xf numFmtId="182" fontId="2" fillId="0" borderId="0"/>
    <xf numFmtId="171"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2" fillId="0" borderId="0"/>
    <xf numFmtId="0" fontId="1" fillId="0" borderId="0"/>
    <xf numFmtId="0" fontId="1" fillId="0" borderId="0"/>
    <xf numFmtId="0" fontId="1" fillId="0" borderId="0"/>
    <xf numFmtId="0" fontId="1"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82"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2"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28" fillId="0" borderId="0"/>
    <xf numFmtId="0" fontId="28" fillId="0" borderId="0"/>
    <xf numFmtId="171"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82"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8" fillId="0" borderId="0"/>
    <xf numFmtId="171" fontId="28" fillId="0" borderId="0"/>
    <xf numFmtId="0" fontId="28" fillId="0" borderId="0"/>
    <xf numFmtId="0" fontId="28" fillId="0" borderId="0"/>
    <xf numFmtId="0" fontId="2" fillId="0" borderId="0"/>
    <xf numFmtId="182"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2"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7" fillId="0" borderId="0"/>
    <xf numFmtId="182" fontId="28" fillId="0" borderId="0"/>
    <xf numFmtId="182" fontId="28"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8" fillId="0" borderId="0"/>
    <xf numFmtId="182" fontId="28" fillId="0" borderId="0"/>
    <xf numFmtId="182" fontId="28" fillId="0" borderId="0"/>
    <xf numFmtId="182" fontId="28" fillId="0" borderId="0"/>
    <xf numFmtId="182"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8" fillId="0" borderId="0"/>
    <xf numFmtId="182"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28" fillId="0" borderId="0"/>
    <xf numFmtId="0" fontId="2" fillId="0" borderId="0"/>
    <xf numFmtId="0" fontId="27" fillId="0" borderId="0"/>
    <xf numFmtId="171" fontId="25" fillId="0" borderId="0"/>
    <xf numFmtId="0" fontId="2" fillId="0" borderId="0"/>
    <xf numFmtId="0" fontId="1" fillId="0" borderId="0"/>
    <xf numFmtId="0" fontId="1" fillId="0" borderId="0"/>
    <xf numFmtId="182"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82"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82" fontId="2" fillId="0" borderId="0"/>
    <xf numFmtId="0" fontId="28" fillId="0" borderId="0"/>
    <xf numFmtId="0" fontId="28" fillId="0" borderId="0"/>
    <xf numFmtId="171" fontId="25" fillId="0" borderId="0"/>
    <xf numFmtId="0" fontId="65" fillId="0" borderId="0"/>
    <xf numFmtId="0" fontId="2" fillId="0" borderId="0"/>
    <xf numFmtId="171" fontId="25" fillId="0" borderId="0"/>
    <xf numFmtId="0" fontId="1" fillId="0" borderId="0"/>
    <xf numFmtId="182"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2"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71" fontId="25" fillId="0" borderId="0"/>
    <xf numFmtId="171" fontId="25" fillId="0" borderId="0"/>
    <xf numFmtId="0" fontId="1" fillId="0" borderId="0"/>
    <xf numFmtId="182" fontId="28" fillId="0" borderId="0"/>
    <xf numFmtId="182" fontId="28" fillId="0" borderId="0"/>
    <xf numFmtId="182" fontId="2" fillId="0" borderId="0"/>
    <xf numFmtId="0" fontId="2" fillId="0" borderId="0"/>
    <xf numFmtId="182" fontId="2" fillId="0" borderId="0"/>
    <xf numFmtId="0" fontId="2" fillId="0" borderId="0"/>
    <xf numFmtId="182"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71" fontId="25" fillId="0" borderId="0"/>
    <xf numFmtId="171" fontId="25" fillId="0" borderId="0"/>
    <xf numFmtId="0" fontId="1" fillId="0" borderId="0"/>
    <xf numFmtId="182" fontId="28" fillId="0" borderId="0"/>
    <xf numFmtId="182"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8" fillId="0" borderId="0"/>
    <xf numFmtId="182"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82" fontId="28" fillId="0" borderId="0"/>
    <xf numFmtId="0" fontId="76"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6" fillId="0" borderId="0"/>
    <xf numFmtId="182" fontId="2"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82" fontId="26" fillId="0" borderId="0"/>
    <xf numFmtId="0" fontId="8"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82" fontId="8" fillId="0" borderId="0"/>
    <xf numFmtId="0" fontId="26" fillId="0" borderId="0"/>
    <xf numFmtId="182"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6" fillId="0" borderId="0"/>
    <xf numFmtId="182" fontId="8"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8" fillId="0" borderId="0"/>
    <xf numFmtId="182" fontId="8" fillId="0" borderId="0"/>
    <xf numFmtId="182" fontId="8" fillId="0" borderId="0"/>
    <xf numFmtId="182" fontId="8" fillId="0" borderId="0"/>
    <xf numFmtId="182" fontId="8" fillId="0" borderId="0"/>
    <xf numFmtId="182" fontId="8"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6"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71" fontId="26" fillId="0" borderId="0"/>
    <xf numFmtId="0" fontId="76" fillId="0" borderId="0"/>
    <xf numFmtId="171"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71" fontId="8" fillId="0" borderId="0"/>
    <xf numFmtId="0" fontId="76" fillId="0" borderId="0"/>
    <xf numFmtId="171"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82"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82"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182" fontId="8" fillId="0" borderId="0"/>
    <xf numFmtId="182" fontId="8" fillId="0" borderId="0"/>
    <xf numFmtId="182" fontId="8" fillId="0" borderId="0"/>
    <xf numFmtId="182" fontId="8" fillId="0" borderId="0"/>
    <xf numFmtId="182" fontId="8" fillId="0" borderId="0"/>
    <xf numFmtId="0" fontId="1" fillId="0" borderId="0"/>
    <xf numFmtId="182" fontId="26"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182" fontId="26" fillId="0" borderId="0"/>
    <xf numFmtId="182" fontId="26"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71"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44" fillId="0" borderId="0"/>
    <xf numFmtId="0" fontId="2" fillId="0" borderId="0"/>
    <xf numFmtId="0" fontId="76" fillId="0" borderId="0"/>
    <xf numFmtId="171" fontId="44"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6"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2"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6"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6" fillId="0" borderId="0"/>
    <xf numFmtId="0" fontId="2" fillId="0" borderId="0"/>
    <xf numFmtId="0" fontId="76"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82"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82" fontId="2" fillId="0" borderId="0"/>
    <xf numFmtId="0" fontId="2" fillId="0" borderId="0"/>
    <xf numFmtId="0" fontId="2" fillId="0" borderId="0"/>
    <xf numFmtId="182" fontId="2" fillId="0" borderId="0"/>
    <xf numFmtId="0" fontId="2" fillId="0" borderId="0"/>
    <xf numFmtId="182" fontId="2" fillId="0" borderId="0"/>
    <xf numFmtId="182" fontId="2" fillId="0" borderId="0"/>
    <xf numFmtId="182" fontId="2" fillId="0" borderId="0"/>
    <xf numFmtId="182" fontId="2" fillId="0" borderId="0"/>
    <xf numFmtId="182"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2"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1"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71"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1"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80" fillId="0" borderId="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171" fontId="2" fillId="0" borderId="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 fillId="73" borderId="44" applyNumberFormat="0" applyFont="0" applyAlignment="0" applyProtection="0"/>
    <xf numFmtId="0" fontId="27" fillId="73" borderId="44" applyNumberFormat="0" applyFont="0" applyAlignment="0" applyProtection="0"/>
    <xf numFmtId="171" fontId="2" fillId="0" borderId="0"/>
    <xf numFmtId="0" fontId="27" fillId="73" borderId="44" applyNumberFormat="0" applyFont="0" applyAlignment="0" applyProtection="0"/>
    <xf numFmtId="0" fontId="27"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7" fillId="73" borderId="44" applyNumberFormat="0" applyFont="0" applyAlignment="0" applyProtection="0"/>
    <xf numFmtId="0" fontId="2"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172" fontId="2" fillId="0" borderId="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 fillId="73" borderId="44" applyNumberFormat="0" applyFont="0" applyAlignment="0" applyProtection="0"/>
    <xf numFmtId="0" fontId="2" fillId="0" borderId="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72" fontId="2" fillId="0" borderId="0"/>
    <xf numFmtId="0" fontId="2" fillId="73" borderId="44" applyNumberFormat="0" applyFont="0" applyAlignment="0" applyProtection="0"/>
    <xf numFmtId="171" fontId="2" fillId="0" borderId="0"/>
    <xf numFmtId="0" fontId="2" fillId="73" borderId="44" applyNumberFormat="0" applyFont="0" applyAlignment="0" applyProtection="0"/>
    <xf numFmtId="171" fontId="2" fillId="0" borderId="0"/>
    <xf numFmtId="0" fontId="2" fillId="73" borderId="44" applyNumberFormat="0" applyFont="0" applyAlignment="0" applyProtection="0"/>
    <xf numFmtId="0" fontId="2" fillId="73" borderId="44" applyNumberFormat="0" applyFont="0" applyAlignment="0" applyProtection="0"/>
    <xf numFmtId="172" fontId="2" fillId="0" borderId="0"/>
    <xf numFmtId="171" fontId="2" fillId="0" borderId="0"/>
    <xf numFmtId="0" fontId="2" fillId="73" borderId="44" applyNumberFormat="0" applyFont="0" applyAlignment="0" applyProtection="0"/>
    <xf numFmtId="171" fontId="2" fillId="0" borderId="0"/>
    <xf numFmtId="0" fontId="2" fillId="73" borderId="44" applyNumberFormat="0" applyFont="0" applyAlignment="0" applyProtection="0"/>
    <xf numFmtId="0" fontId="2" fillId="73" borderId="44" applyNumberFormat="0" applyFont="0" applyAlignment="0" applyProtection="0"/>
    <xf numFmtId="172" fontId="2" fillId="0" borderId="0"/>
    <xf numFmtId="0" fontId="2" fillId="73" borderId="44" applyNumberFormat="0" applyFont="0" applyAlignment="0" applyProtection="0"/>
    <xf numFmtId="171" fontId="2" fillId="0" borderId="0"/>
    <xf numFmtId="0" fontId="2" fillId="73" borderId="44" applyNumberFormat="0" applyFont="0" applyAlignment="0" applyProtection="0"/>
    <xf numFmtId="171" fontId="2" fillId="0" borderId="0"/>
    <xf numFmtId="0" fontId="2" fillId="73" borderId="44" applyNumberFormat="0" applyFont="0" applyAlignment="0" applyProtection="0"/>
    <xf numFmtId="0" fontId="2" fillId="73" borderId="44" applyNumberFormat="0" applyFont="0" applyAlignment="0" applyProtection="0"/>
    <xf numFmtId="172" fontId="2" fillId="0" borderId="0"/>
    <xf numFmtId="171" fontId="2" fillId="0" borderId="0"/>
    <xf numFmtId="171" fontId="2" fillId="0" borderId="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86" fontId="2" fillId="0" borderId="0" applyFont="0" applyFill="0" applyBorder="0" applyAlignment="0" applyProtection="0"/>
    <xf numFmtId="187" fontId="2" fillId="0" borderId="0" applyFont="0" applyFill="0" applyBorder="0" applyAlignment="0" applyProtection="0"/>
    <xf numFmtId="188" fontId="81" fillId="0" borderId="0">
      <alignment horizontal="left"/>
    </xf>
    <xf numFmtId="0" fontId="2" fillId="0" borderId="0"/>
    <xf numFmtId="0" fontId="2" fillId="0" borderId="0"/>
    <xf numFmtId="171" fontId="2" fillId="0" borderId="0"/>
    <xf numFmtId="3" fontId="2" fillId="74" borderId="3" applyFont="0">
      <alignment horizontal="right" vertical="center"/>
      <protection locked="0"/>
    </xf>
    <xf numFmtId="171" fontId="82" fillId="0" borderId="0"/>
    <xf numFmtId="0" fontId="82" fillId="0" borderId="0"/>
    <xf numFmtId="171" fontId="82" fillId="0" borderId="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171" fontId="85"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171" fontId="85"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172" fontId="85"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171" fontId="85" fillId="63" borderId="45" applyNumberFormat="0" applyAlignment="0" applyProtection="0"/>
    <xf numFmtId="172" fontId="85" fillId="63" borderId="45" applyNumberFormat="0" applyAlignment="0" applyProtection="0"/>
    <xf numFmtId="171" fontId="85" fillId="63" borderId="45" applyNumberFormat="0" applyAlignment="0" applyProtection="0"/>
    <xf numFmtId="171" fontId="85" fillId="63" borderId="45" applyNumberFormat="0" applyAlignment="0" applyProtection="0"/>
    <xf numFmtId="172" fontId="85" fillId="63" borderId="45" applyNumberFormat="0" applyAlignment="0" applyProtection="0"/>
    <xf numFmtId="171" fontId="85" fillId="63" borderId="45" applyNumberFormat="0" applyAlignment="0" applyProtection="0"/>
    <xf numFmtId="171" fontId="85" fillId="63" borderId="45" applyNumberFormat="0" applyAlignment="0" applyProtection="0"/>
    <xf numFmtId="172" fontId="85" fillId="63" borderId="45" applyNumberFormat="0" applyAlignment="0" applyProtection="0"/>
    <xf numFmtId="171" fontId="85" fillId="63" borderId="45" applyNumberFormat="0" applyAlignment="0" applyProtection="0"/>
    <xf numFmtId="171" fontId="85" fillId="63" borderId="45" applyNumberFormat="0" applyAlignment="0" applyProtection="0"/>
    <xf numFmtId="172" fontId="85" fillId="63" borderId="45" applyNumberFormat="0" applyAlignment="0" applyProtection="0"/>
    <xf numFmtId="171" fontId="85" fillId="63" borderId="45" applyNumberFormat="0" applyAlignment="0" applyProtection="0"/>
    <xf numFmtId="0" fontId="83" fillId="63" borderId="45" applyNumberFormat="0" applyAlignment="0" applyProtection="0"/>
    <xf numFmtId="0" fontId="25" fillId="0" borderId="0"/>
    <xf numFmtId="178" fontId="37" fillId="0" borderId="0" applyFont="0" applyFill="0" applyBorder="0" applyAlignment="0" applyProtection="0"/>
    <xf numFmtId="189"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4" fontId="37" fillId="0" borderId="0" applyFill="0" applyBorder="0" applyAlignment="0"/>
    <xf numFmtId="175" fontId="37" fillId="0" borderId="0" applyFill="0" applyBorder="0" applyAlignment="0"/>
    <xf numFmtId="174" fontId="37" fillId="0" borderId="0" applyFill="0" applyBorder="0" applyAlignment="0"/>
    <xf numFmtId="179" fontId="37" fillId="0" borderId="0" applyFill="0" applyBorder="0" applyAlignment="0"/>
    <xf numFmtId="175" fontId="37" fillId="0" borderId="0" applyFill="0" applyBorder="0" applyAlignment="0"/>
    <xf numFmtId="171" fontId="2" fillId="0" borderId="0"/>
    <xf numFmtId="0" fontId="2" fillId="0" borderId="0"/>
    <xf numFmtId="171" fontId="2" fillId="0" borderId="0"/>
    <xf numFmtId="190"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91" fontId="2" fillId="69" borderId="3" applyFont="0">
      <alignment horizontal="right" vertical="center"/>
    </xf>
    <xf numFmtId="0" fontId="88" fillId="0" borderId="0"/>
    <xf numFmtId="0" fontId="25" fillId="0" borderId="0"/>
    <xf numFmtId="0" fontId="89" fillId="0" borderId="0"/>
    <xf numFmtId="0" fontId="89" fillId="0" borderId="0"/>
    <xf numFmtId="171" fontId="25" fillId="0" borderId="0"/>
    <xf numFmtId="171"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92" fontId="37" fillId="0" borderId="0" applyFill="0" applyBorder="0" applyAlignment="0"/>
    <xf numFmtId="193" fontId="37" fillId="0" borderId="0" applyFill="0" applyBorder="0" applyAlignment="0"/>
    <xf numFmtId="0" fontId="92" fillId="0" borderId="0">
      <alignment horizontal="center" vertical="top"/>
    </xf>
    <xf numFmtId="0" fontId="93" fillId="0" borderId="0" applyNumberFormat="0" applyFill="0" applyBorder="0" applyAlignment="0" applyProtection="0"/>
    <xf numFmtId="172" fontId="93" fillId="0" borderId="0" applyNumberFormat="0" applyFill="0" applyBorder="0" applyAlignment="0" applyProtection="0"/>
    <xf numFmtId="0" fontId="93" fillId="0" borderId="0" applyNumberFormat="0" applyFill="0" applyBorder="0" applyAlignment="0" applyProtection="0"/>
    <xf numFmtId="171" fontId="93" fillId="0" borderId="0" applyNumberFormat="0" applyFill="0" applyBorder="0" applyAlignment="0" applyProtection="0"/>
    <xf numFmtId="171" fontId="93" fillId="0" borderId="0" applyNumberFormat="0" applyFill="0" applyBorder="0" applyAlignment="0" applyProtection="0"/>
    <xf numFmtId="171" fontId="93" fillId="0" borderId="0" applyNumberFormat="0" applyFill="0" applyBorder="0" applyAlignment="0" applyProtection="0"/>
    <xf numFmtId="172" fontId="93" fillId="0" borderId="0" applyNumberFormat="0" applyFill="0" applyBorder="0" applyAlignment="0" applyProtection="0"/>
    <xf numFmtId="171" fontId="93" fillId="0" borderId="0" applyNumberFormat="0" applyFill="0" applyBorder="0" applyAlignment="0" applyProtection="0"/>
    <xf numFmtId="171" fontId="93" fillId="0" borderId="0" applyNumberFormat="0" applyFill="0" applyBorder="0" applyAlignment="0" applyProtection="0"/>
    <xf numFmtId="172" fontId="93" fillId="0" borderId="0" applyNumberFormat="0" applyFill="0" applyBorder="0" applyAlignment="0" applyProtection="0"/>
    <xf numFmtId="171" fontId="93" fillId="0" borderId="0" applyNumberFormat="0" applyFill="0" applyBorder="0" applyAlignment="0" applyProtection="0"/>
    <xf numFmtId="171" fontId="93" fillId="0" borderId="0" applyNumberFormat="0" applyFill="0" applyBorder="0" applyAlignment="0" applyProtection="0"/>
    <xf numFmtId="172" fontId="93" fillId="0" borderId="0" applyNumberFormat="0" applyFill="0" applyBorder="0" applyAlignment="0" applyProtection="0"/>
    <xf numFmtId="171" fontId="93" fillId="0" borderId="0" applyNumberFormat="0" applyFill="0" applyBorder="0" applyAlignment="0" applyProtection="0"/>
    <xf numFmtId="171" fontId="93" fillId="0" borderId="0" applyNumberFormat="0" applyFill="0" applyBorder="0" applyAlignment="0" applyProtection="0"/>
    <xf numFmtId="172" fontId="93" fillId="0" borderId="0" applyNumberFormat="0" applyFill="0" applyBorder="0" applyAlignment="0" applyProtection="0"/>
    <xf numFmtId="171" fontId="93" fillId="0" borderId="0" applyNumberFormat="0" applyFill="0" applyBorder="0" applyAlignment="0" applyProtection="0"/>
    <xf numFmtId="0" fontId="93" fillId="0" borderId="0" applyNumberFormat="0" applyFill="0" applyBorder="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171" fontId="94"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171" fontId="94"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172" fontId="94"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171" fontId="94" fillId="0" borderId="46" applyNumberFormat="0" applyFill="0" applyAlignment="0" applyProtection="0"/>
    <xf numFmtId="172" fontId="94" fillId="0" borderId="46" applyNumberFormat="0" applyFill="0" applyAlignment="0" applyProtection="0"/>
    <xf numFmtId="171" fontId="94" fillId="0" borderId="46" applyNumberFormat="0" applyFill="0" applyAlignment="0" applyProtection="0"/>
    <xf numFmtId="171" fontId="94" fillId="0" borderId="46" applyNumberFormat="0" applyFill="0" applyAlignment="0" applyProtection="0"/>
    <xf numFmtId="172" fontId="94" fillId="0" borderId="46" applyNumberFormat="0" applyFill="0" applyAlignment="0" applyProtection="0"/>
    <xf numFmtId="171" fontId="94" fillId="0" borderId="46" applyNumberFormat="0" applyFill="0" applyAlignment="0" applyProtection="0"/>
    <xf numFmtId="171" fontId="94" fillId="0" borderId="46" applyNumberFormat="0" applyFill="0" applyAlignment="0" applyProtection="0"/>
    <xf numFmtId="172" fontId="94" fillId="0" borderId="46" applyNumberFormat="0" applyFill="0" applyAlignment="0" applyProtection="0"/>
    <xf numFmtId="171" fontId="94" fillId="0" borderId="46" applyNumberFormat="0" applyFill="0" applyAlignment="0" applyProtection="0"/>
    <xf numFmtId="171" fontId="94" fillId="0" borderId="46" applyNumberFormat="0" applyFill="0" applyAlignment="0" applyProtection="0"/>
    <xf numFmtId="172" fontId="94" fillId="0" borderId="46" applyNumberFormat="0" applyFill="0" applyAlignment="0" applyProtection="0"/>
    <xf numFmtId="171" fontId="94" fillId="0" borderId="46" applyNumberFormat="0" applyFill="0" applyAlignment="0" applyProtection="0"/>
    <xf numFmtId="0" fontId="47" fillId="0" borderId="46" applyNumberFormat="0" applyFill="0" applyAlignment="0" applyProtection="0"/>
    <xf numFmtId="0" fontId="25" fillId="0" borderId="47"/>
    <xf numFmtId="188" fontId="81" fillId="0" borderId="0">
      <alignment horizontal="left"/>
    </xf>
    <xf numFmtId="0" fontId="2" fillId="0" borderId="0"/>
    <xf numFmtId="0" fontId="2" fillId="0" borderId="0"/>
    <xf numFmtId="171" fontId="2" fillId="0" borderId="0"/>
    <xf numFmtId="171" fontId="2" fillId="0" borderId="0">
      <alignment horizontal="center" textRotation="90"/>
    </xf>
    <xf numFmtId="0" fontId="2" fillId="0" borderId="0">
      <alignment horizontal="center" textRotation="90"/>
    </xf>
    <xf numFmtId="171" fontId="2" fillId="0" borderId="0">
      <alignment horizontal="center" textRotation="90"/>
    </xf>
    <xf numFmtId="194" fontId="26" fillId="0" borderId="0" applyFont="0" applyFill="0" applyBorder="0" applyAlignment="0" applyProtection="0"/>
    <xf numFmtId="195"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71" fontId="96" fillId="0" borderId="0" applyNumberFormat="0" applyFill="0" applyBorder="0" applyAlignment="0" applyProtection="0"/>
    <xf numFmtId="171" fontId="96" fillId="0" borderId="0" applyNumberFormat="0" applyFill="0" applyBorder="0" applyAlignment="0" applyProtection="0"/>
    <xf numFmtId="172"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71" fontId="96" fillId="0" borderId="0" applyNumberFormat="0" applyFill="0" applyBorder="0" applyAlignment="0" applyProtection="0"/>
    <xf numFmtId="172" fontId="96" fillId="0" borderId="0" applyNumberFormat="0" applyFill="0" applyBorder="0" applyAlignment="0" applyProtection="0"/>
    <xf numFmtId="171" fontId="96" fillId="0" borderId="0" applyNumberFormat="0" applyFill="0" applyBorder="0" applyAlignment="0" applyProtection="0"/>
    <xf numFmtId="171" fontId="96" fillId="0" borderId="0" applyNumberFormat="0" applyFill="0" applyBorder="0" applyAlignment="0" applyProtection="0"/>
    <xf numFmtId="172" fontId="96" fillId="0" borderId="0" applyNumberFormat="0" applyFill="0" applyBorder="0" applyAlignment="0" applyProtection="0"/>
    <xf numFmtId="171" fontId="96" fillId="0" borderId="0" applyNumberFormat="0" applyFill="0" applyBorder="0" applyAlignment="0" applyProtection="0"/>
    <xf numFmtId="171" fontId="96" fillId="0" borderId="0" applyNumberFormat="0" applyFill="0" applyBorder="0" applyAlignment="0" applyProtection="0"/>
    <xf numFmtId="172" fontId="96" fillId="0" borderId="0" applyNumberFormat="0" applyFill="0" applyBorder="0" applyAlignment="0" applyProtection="0"/>
    <xf numFmtId="171" fontId="96" fillId="0" borderId="0" applyNumberFormat="0" applyFill="0" applyBorder="0" applyAlignment="0" applyProtection="0"/>
    <xf numFmtId="171" fontId="96" fillId="0" borderId="0" applyNumberFormat="0" applyFill="0" applyBorder="0" applyAlignment="0" applyProtection="0"/>
    <xf numFmtId="172" fontId="96" fillId="0" borderId="0" applyNumberFormat="0" applyFill="0" applyBorder="0" applyAlignment="0" applyProtection="0"/>
    <xf numFmtId="171"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165" fontId="98" fillId="0" borderId="0" applyFont="0" applyFill="0" applyBorder="0" applyAlignment="0" applyProtection="0"/>
    <xf numFmtId="166"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3" applyNumberFormat="0" applyFill="0" applyAlignment="0" applyProtection="0"/>
    <xf numFmtId="171" fontId="94" fillId="0" borderId="103" applyNumberFormat="0" applyFill="0" applyAlignment="0" applyProtection="0"/>
    <xf numFmtId="172" fontId="94" fillId="0" borderId="103" applyNumberFormat="0" applyFill="0" applyAlignment="0" applyProtection="0"/>
    <xf numFmtId="171" fontId="94" fillId="0" borderId="103" applyNumberFormat="0" applyFill="0" applyAlignment="0" applyProtection="0"/>
    <xf numFmtId="171" fontId="94" fillId="0" borderId="103" applyNumberFormat="0" applyFill="0" applyAlignment="0" applyProtection="0"/>
    <xf numFmtId="172" fontId="94" fillId="0" borderId="103" applyNumberFormat="0" applyFill="0" applyAlignment="0" applyProtection="0"/>
    <xf numFmtId="171" fontId="94" fillId="0" borderId="103" applyNumberFormat="0" applyFill="0" applyAlignment="0" applyProtection="0"/>
    <xf numFmtId="171" fontId="94" fillId="0" borderId="103" applyNumberFormat="0" applyFill="0" applyAlignment="0" applyProtection="0"/>
    <xf numFmtId="172" fontId="94" fillId="0" borderId="103" applyNumberFormat="0" applyFill="0" applyAlignment="0" applyProtection="0"/>
    <xf numFmtId="171" fontId="94" fillId="0" borderId="103" applyNumberFormat="0" applyFill="0" applyAlignment="0" applyProtection="0"/>
    <xf numFmtId="171" fontId="94" fillId="0" borderId="103" applyNumberFormat="0" applyFill="0" applyAlignment="0" applyProtection="0"/>
    <xf numFmtId="172" fontId="94" fillId="0" borderId="103" applyNumberFormat="0" applyFill="0" applyAlignment="0" applyProtection="0"/>
    <xf numFmtId="171"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72"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71"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71"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91" fontId="2" fillId="69" borderId="97" applyFont="0">
      <alignment horizontal="right" vertical="center"/>
    </xf>
    <xf numFmtId="3" fontId="2" fillId="69" borderId="97" applyFont="0">
      <alignment horizontal="right" vertical="center"/>
    </xf>
    <xf numFmtId="0" fontId="83" fillId="63" borderId="102" applyNumberFormat="0" applyAlignment="0" applyProtection="0"/>
    <xf numFmtId="171" fontId="85" fillId="63" borderId="102" applyNumberFormat="0" applyAlignment="0" applyProtection="0"/>
    <xf numFmtId="172" fontId="85" fillId="63" borderId="102" applyNumberFormat="0" applyAlignment="0" applyProtection="0"/>
    <xf numFmtId="171" fontId="85" fillId="63" borderId="102" applyNumberFormat="0" applyAlignment="0" applyProtection="0"/>
    <xf numFmtId="171" fontId="85" fillId="63" borderId="102" applyNumberFormat="0" applyAlignment="0" applyProtection="0"/>
    <xf numFmtId="172" fontId="85" fillId="63" borderId="102" applyNumberFormat="0" applyAlignment="0" applyProtection="0"/>
    <xf numFmtId="171" fontId="85" fillId="63" borderId="102" applyNumberFormat="0" applyAlignment="0" applyProtection="0"/>
    <xf numFmtId="171" fontId="85" fillId="63" borderId="102" applyNumberFormat="0" applyAlignment="0" applyProtection="0"/>
    <xf numFmtId="172" fontId="85" fillId="63" borderId="102" applyNumberFormat="0" applyAlignment="0" applyProtection="0"/>
    <xf numFmtId="171" fontId="85" fillId="63" borderId="102" applyNumberFormat="0" applyAlignment="0" applyProtection="0"/>
    <xf numFmtId="171" fontId="85" fillId="63" borderId="102" applyNumberFormat="0" applyAlignment="0" applyProtection="0"/>
    <xf numFmtId="172" fontId="85" fillId="63" borderId="102" applyNumberFormat="0" applyAlignment="0" applyProtection="0"/>
    <xf numFmtId="171"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72"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71"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71"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3" fontId="2" fillId="74" borderId="97" applyFont="0">
      <alignment horizontal="right" vertical="center"/>
      <protection locked="0"/>
    </xf>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3" fontId="2" fillId="71" borderId="97" applyFont="0">
      <alignment horizontal="right" vertical="center"/>
      <protection locked="0"/>
    </xf>
    <xf numFmtId="0" fontId="66" fillId="42" borderId="100" applyNumberFormat="0" applyAlignment="0" applyProtection="0"/>
    <xf numFmtId="171" fontId="68" fillId="42" borderId="100" applyNumberFormat="0" applyAlignment="0" applyProtection="0"/>
    <xf numFmtId="172" fontId="68" fillId="42" borderId="100" applyNumberFormat="0" applyAlignment="0" applyProtection="0"/>
    <xf numFmtId="171" fontId="68" fillId="42" borderId="100" applyNumberFormat="0" applyAlignment="0" applyProtection="0"/>
    <xf numFmtId="171" fontId="68" fillId="42" borderId="100" applyNumberFormat="0" applyAlignment="0" applyProtection="0"/>
    <xf numFmtId="172" fontId="68" fillId="42" borderId="100" applyNumberFormat="0" applyAlignment="0" applyProtection="0"/>
    <xf numFmtId="171" fontId="68" fillId="42" borderId="100" applyNumberFormat="0" applyAlignment="0" applyProtection="0"/>
    <xf numFmtId="171" fontId="68" fillId="42" borderId="100" applyNumberFormat="0" applyAlignment="0" applyProtection="0"/>
    <xf numFmtId="172" fontId="68" fillId="42" borderId="100" applyNumberFormat="0" applyAlignment="0" applyProtection="0"/>
    <xf numFmtId="171" fontId="68" fillId="42" borderId="100" applyNumberFormat="0" applyAlignment="0" applyProtection="0"/>
    <xf numFmtId="171" fontId="68" fillId="42" borderId="100" applyNumberFormat="0" applyAlignment="0" applyProtection="0"/>
    <xf numFmtId="172" fontId="68" fillId="42" borderId="100" applyNumberFormat="0" applyAlignment="0" applyProtection="0"/>
    <xf numFmtId="171"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72"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71"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71"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2" fillId="70" borderId="98" applyNumberFormat="0" applyFont="0" applyBorder="0" applyProtection="0">
      <alignment horizontal="left" vertical="center"/>
    </xf>
    <xf numFmtId="9" fontId="2" fillId="70" borderId="97" applyFont="0" applyProtection="0">
      <alignment horizontal="right" vertical="center"/>
    </xf>
    <xf numFmtId="3" fontId="2" fillId="70" borderId="97" applyFont="0" applyProtection="0">
      <alignment horizontal="right" vertical="center"/>
    </xf>
    <xf numFmtId="0" fontId="62" fillId="69" borderId="98" applyFont="0" applyBorder="0">
      <alignment horizontal="center" wrapText="1"/>
    </xf>
    <xf numFmtId="171" fontId="54" fillId="0" borderId="95">
      <alignment horizontal="left" vertical="center"/>
    </xf>
    <xf numFmtId="0" fontId="54" fillId="0" borderId="95">
      <alignment horizontal="left" vertical="center"/>
    </xf>
    <xf numFmtId="0" fontId="54" fillId="0" borderId="95">
      <alignment horizontal="left" vertical="center"/>
    </xf>
    <xf numFmtId="0" fontId="2" fillId="68" borderId="97" applyNumberFormat="0" applyFont="0" applyBorder="0" applyProtection="0">
      <alignment horizontal="center" vertical="center"/>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8" fillId="63" borderId="100" applyNumberFormat="0" applyAlignment="0" applyProtection="0"/>
    <xf numFmtId="171" fontId="40" fillId="63" borderId="100" applyNumberFormat="0" applyAlignment="0" applyProtection="0"/>
    <xf numFmtId="172" fontId="40" fillId="63" borderId="100" applyNumberFormat="0" applyAlignment="0" applyProtection="0"/>
    <xf numFmtId="171" fontId="40" fillId="63" borderId="100" applyNumberFormat="0" applyAlignment="0" applyProtection="0"/>
    <xf numFmtId="171" fontId="40" fillId="63" borderId="100" applyNumberFormat="0" applyAlignment="0" applyProtection="0"/>
    <xf numFmtId="172" fontId="40" fillId="63" borderId="100" applyNumberFormat="0" applyAlignment="0" applyProtection="0"/>
    <xf numFmtId="171" fontId="40" fillId="63" borderId="100" applyNumberFormat="0" applyAlignment="0" applyProtection="0"/>
    <xf numFmtId="171" fontId="40" fillId="63" borderId="100" applyNumberFormat="0" applyAlignment="0" applyProtection="0"/>
    <xf numFmtId="172" fontId="40" fillId="63" borderId="100" applyNumberFormat="0" applyAlignment="0" applyProtection="0"/>
    <xf numFmtId="171" fontId="40" fillId="63" borderId="100" applyNumberFormat="0" applyAlignment="0" applyProtection="0"/>
    <xf numFmtId="171" fontId="40" fillId="63" borderId="100" applyNumberFormat="0" applyAlignment="0" applyProtection="0"/>
    <xf numFmtId="172" fontId="40" fillId="63" borderId="100" applyNumberFormat="0" applyAlignment="0" applyProtection="0"/>
    <xf numFmtId="171"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72"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71"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71"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1" fillId="0" borderId="0"/>
    <xf numFmtId="172" fontId="26" fillId="36" borderId="0"/>
    <xf numFmtId="0" fontId="2" fillId="0" borderId="0">
      <alignment vertical="center"/>
    </xf>
    <xf numFmtId="169" fontId="1" fillId="0" borderId="0" applyFont="0" applyFill="0" applyBorder="0" applyAlignment="0" applyProtection="0"/>
    <xf numFmtId="0" fontId="128" fillId="0" borderId="0"/>
    <xf numFmtId="0" fontId="1" fillId="0" borderId="0"/>
    <xf numFmtId="0" fontId="1" fillId="0" borderId="0"/>
  </cellStyleXfs>
  <cellXfs count="1009">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70" fontId="3" fillId="0" borderId="0" xfId="0" applyNumberFormat="1" applyFont="1" applyFill="1" applyBorder="1" applyAlignment="1">
      <alignment horizontal="center"/>
    </xf>
    <xf numFmtId="170" fontId="0" fillId="0" borderId="0" xfId="0" applyNumberFormat="1" applyBorder="1" applyAlignment="1">
      <alignment horizontal="center"/>
    </xf>
    <xf numFmtId="170" fontId="5" fillId="0" borderId="0" xfId="0" applyNumberFormat="1" applyFont="1" applyBorder="1" applyAlignment="1">
      <alignment horizontal="center"/>
    </xf>
    <xf numFmtId="0" fontId="4" fillId="0" borderId="3" xfId="0" applyFont="1" applyBorder="1"/>
    <xf numFmtId="0" fontId="9" fillId="0" borderId="15"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8" xfId="0" applyFont="1" applyBorder="1" applyAlignment="1">
      <alignment vertical="center"/>
    </xf>
    <xf numFmtId="0" fontId="9" fillId="0" borderId="21"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0"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24"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8"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7" fontId="7" fillId="3" borderId="3" xfId="1" applyNumberFormat="1" applyFont="1" applyFill="1" applyBorder="1" applyAlignment="1" applyProtection="1">
      <alignment horizontal="center" vertical="center" wrapText="1"/>
      <protection locked="0"/>
    </xf>
    <xf numFmtId="167" fontId="7" fillId="3" borderId="18" xfId="1" applyNumberFormat="1" applyFont="1" applyFill="1" applyBorder="1" applyAlignment="1" applyProtection="1">
      <alignment horizontal="center" vertical="center" wrapText="1"/>
      <protection locked="0"/>
    </xf>
    <xf numFmtId="167" fontId="7" fillId="3" borderId="19" xfId="1" applyNumberFormat="1" applyFont="1" applyFill="1" applyBorder="1" applyAlignment="1" applyProtection="1">
      <alignment horizontal="center" vertical="center" wrapText="1"/>
      <protection locked="0"/>
    </xf>
    <xf numFmtId="0" fontId="4" fillId="0" borderId="15" xfId="0" applyFont="1" applyBorder="1"/>
    <xf numFmtId="0" fontId="4" fillId="0" borderId="17" xfId="0" applyFont="1" applyBorder="1"/>
    <xf numFmtId="0" fontId="7" fillId="3" borderId="21" xfId="9" applyFont="1" applyFill="1" applyBorder="1" applyAlignment="1" applyProtection="1">
      <alignment horizontal="left" vertical="center"/>
      <protection locked="0"/>
    </xf>
    <xf numFmtId="0" fontId="15" fillId="3" borderId="23" xfId="16" applyFont="1" applyFill="1" applyBorder="1" applyAlignment="1" applyProtection="1">
      <protection locked="0"/>
    </xf>
    <xf numFmtId="0" fontId="4" fillId="0" borderId="0" xfId="0" applyFont="1" applyFill="1" applyBorder="1" applyAlignment="1">
      <alignment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7" fillId="0" borderId="0" xfId="11" applyFont="1" applyFill="1" applyBorder="1" applyAlignment="1" applyProtection="1">
      <alignment vertical="center"/>
    </xf>
    <xf numFmtId="0" fontId="4" fillId="0" borderId="18" xfId="0" applyFont="1" applyBorder="1" applyAlignment="1">
      <alignment vertical="center"/>
    </xf>
    <xf numFmtId="0" fontId="9" fillId="2" borderId="21" xfId="0" applyFont="1" applyFill="1" applyBorder="1" applyAlignment="1">
      <alignment horizontal="right" vertical="center"/>
    </xf>
    <xf numFmtId="0" fontId="4" fillId="0" borderId="52" xfId="0" applyFont="1" applyBorder="1"/>
    <xf numFmtId="0" fontId="20" fillId="0" borderId="21" xfId="0" applyFont="1" applyBorder="1" applyAlignment="1">
      <alignment horizontal="center" vertical="center" wrapText="1"/>
    </xf>
    <xf numFmtId="0" fontId="4" fillId="0" borderId="53" xfId="0" applyFont="1" applyBorder="1"/>
    <xf numFmtId="0" fontId="7" fillId="0" borderId="15"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7" fontId="7" fillId="3" borderId="17" xfId="2" applyNumberFormat="1" applyFont="1" applyFill="1" applyBorder="1" applyAlignment="1" applyProtection="1">
      <alignment horizontal="center" vertical="center"/>
      <protection locked="0"/>
    </xf>
    <xf numFmtId="0" fontId="7" fillId="0" borderId="18"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8" xfId="9" applyFont="1" applyFill="1" applyBorder="1" applyAlignment="1" applyProtection="1">
      <alignment horizontal="center" vertical="center" wrapText="1"/>
      <protection locked="0"/>
    </xf>
    <xf numFmtId="0" fontId="15" fillId="35" borderId="22" xfId="13" applyFont="1" applyFill="1" applyBorder="1" applyAlignment="1" applyProtection="1">
      <alignment vertical="center" wrapText="1"/>
      <protection locked="0"/>
    </xf>
    <xf numFmtId="170" fontId="23" fillId="0" borderId="58" xfId="0" applyNumberFormat="1" applyFont="1" applyBorder="1" applyAlignment="1">
      <alignment horizontal="center"/>
    </xf>
    <xf numFmtId="170" fontId="23" fillId="0" borderId="56" xfId="0" applyNumberFormat="1" applyFont="1" applyBorder="1" applyAlignment="1">
      <alignment horizontal="center"/>
    </xf>
    <xf numFmtId="170" fontId="19" fillId="0" borderId="56" xfId="0" applyNumberFormat="1" applyFont="1" applyBorder="1" applyAlignment="1">
      <alignment horizontal="center"/>
    </xf>
    <xf numFmtId="170" fontId="23" fillId="0" borderId="59" xfId="0" applyNumberFormat="1" applyFont="1" applyBorder="1" applyAlignment="1">
      <alignment horizontal="center"/>
    </xf>
    <xf numFmtId="170" fontId="23" fillId="0" borderId="60"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0" fillId="0" borderId="0" xfId="0" applyFont="1" applyFill="1"/>
    <xf numFmtId="0" fontId="4" fillId="0" borderId="61" xfId="0" applyFont="1" applyBorder="1"/>
    <xf numFmtId="0" fontId="4" fillId="0" borderId="16" xfId="0" applyFont="1" applyBorder="1"/>
    <xf numFmtId="0" fontId="4" fillId="0" borderId="21" xfId="0" applyFont="1" applyBorder="1"/>
    <xf numFmtId="0" fontId="12" fillId="0" borderId="0" xfId="0" applyFont="1" applyAlignment="1"/>
    <xf numFmtId="0" fontId="7" fillId="3" borderId="18" xfId="5" applyFont="1" applyFill="1" applyBorder="1" applyAlignment="1" applyProtection="1">
      <alignment horizontal="right" vertical="center"/>
      <protection locked="0"/>
    </xf>
    <xf numFmtId="0" fontId="15" fillId="3" borderId="22" xfId="16" applyFont="1" applyFill="1" applyBorder="1" applyAlignment="1" applyProtection="1">
      <protection locked="0"/>
    </xf>
    <xf numFmtId="0" fontId="4" fillId="0" borderId="16" xfId="0" applyFont="1" applyBorder="1" applyAlignment="1">
      <alignment wrapText="1"/>
    </xf>
    <xf numFmtId="0" fontId="4" fillId="0" borderId="17" xfId="0" applyFont="1" applyBorder="1" applyAlignment="1">
      <alignment wrapText="1"/>
    </xf>
    <xf numFmtId="0" fontId="6" fillId="0" borderId="22"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19"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2" fillId="0" borderId="3" xfId="20960" applyFont="1" applyFill="1" applyBorder="1" applyAlignment="1" applyProtection="1">
      <alignment horizontal="center" vertical="center"/>
    </xf>
    <xf numFmtId="0" fontId="103"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6"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5" xfId="0" applyBorder="1" applyAlignment="1">
      <alignment horizontal="center" vertical="center"/>
    </xf>
    <xf numFmtId="0" fontId="6" fillId="35" borderId="26"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8"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1"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4" fillId="0" borderId="21" xfId="0" applyFont="1" applyFill="1" applyBorder="1" applyAlignment="1">
      <alignment horizontal="center" vertical="center"/>
    </xf>
    <xf numFmtId="0" fontId="105" fillId="0" borderId="0" xfId="0" applyFont="1" applyFill="1" applyBorder="1" applyAlignment="1"/>
    <xf numFmtId="49" fontId="105" fillId="0" borderId="7" xfId="0" applyNumberFormat="1" applyFont="1" applyFill="1" applyBorder="1" applyAlignment="1">
      <alignment horizontal="right" vertical="center"/>
    </xf>
    <xf numFmtId="49" fontId="105" fillId="0" borderId="74" xfId="0" applyNumberFormat="1" applyFont="1" applyFill="1" applyBorder="1" applyAlignment="1">
      <alignment horizontal="right" vertical="center"/>
    </xf>
    <xf numFmtId="49" fontId="105" fillId="0" borderId="77" xfId="0" applyNumberFormat="1" applyFont="1" applyFill="1" applyBorder="1" applyAlignment="1">
      <alignment horizontal="right" vertical="center"/>
    </xf>
    <xf numFmtId="49" fontId="105" fillId="0" borderId="82"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82"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6" fontId="9" fillId="2" borderId="22" xfId="0" applyNumberFormat="1" applyFont="1" applyFill="1" applyBorder="1" applyAlignment="1" applyProtection="1">
      <alignment vertical="center"/>
      <protection locked="0"/>
    </xf>
    <xf numFmtId="3" fontId="21" fillId="35" borderId="22" xfId="0" applyNumberFormat="1" applyFont="1" applyFill="1" applyBorder="1" applyAlignment="1">
      <alignment vertical="center" wrapText="1"/>
    </xf>
    <xf numFmtId="3" fontId="21" fillId="35" borderId="23" xfId="0" applyNumberFormat="1" applyFont="1" applyFill="1" applyBorder="1" applyAlignment="1">
      <alignment vertical="center" wrapText="1"/>
    </xf>
    <xf numFmtId="196" fontId="0" fillId="35" borderId="17" xfId="0" applyNumberFormat="1" applyFill="1" applyBorder="1" applyAlignment="1">
      <alignment horizontal="center" vertical="center"/>
    </xf>
    <xf numFmtId="196" fontId="0" fillId="0" borderId="19" xfId="0" applyNumberFormat="1" applyBorder="1" applyAlignment="1"/>
    <xf numFmtId="196" fontId="0" fillId="0" borderId="19" xfId="0" applyNumberFormat="1" applyBorder="1" applyAlignment="1">
      <alignment wrapText="1"/>
    </xf>
    <xf numFmtId="196" fontId="0" fillId="35" borderId="19" xfId="0" applyNumberFormat="1" applyFill="1" applyBorder="1" applyAlignment="1">
      <alignment horizontal="center" vertical="center" wrapText="1"/>
    </xf>
    <xf numFmtId="196" fontId="0" fillId="35" borderId="23" xfId="0" applyNumberFormat="1" applyFill="1" applyBorder="1" applyAlignment="1">
      <alignment horizontal="center" vertical="center" wrapText="1"/>
    </xf>
    <xf numFmtId="196" fontId="7" fillId="35" borderId="19" xfId="2" applyNumberFormat="1" applyFont="1" applyFill="1" applyBorder="1" applyAlignment="1" applyProtection="1">
      <alignment vertical="top"/>
    </xf>
    <xf numFmtId="196" fontId="7" fillId="35" borderId="23" xfId="2" applyNumberFormat="1" applyFont="1" applyFill="1" applyBorder="1" applyAlignment="1" applyProtection="1">
      <alignment vertical="top" wrapText="1"/>
    </xf>
    <xf numFmtId="196" fontId="4" fillId="0" borderId="3" xfId="0" applyNumberFormat="1" applyFont="1" applyBorder="1" applyAlignment="1"/>
    <xf numFmtId="196" fontId="4" fillId="35" borderId="22" xfId="0" applyNumberFormat="1" applyFont="1" applyFill="1" applyBorder="1"/>
    <xf numFmtId="196" fontId="4" fillId="0" borderId="18" xfId="0" applyNumberFormat="1" applyFont="1" applyBorder="1" applyAlignment="1"/>
    <xf numFmtId="196" fontId="4" fillId="0" borderId="19" xfId="0" applyNumberFormat="1" applyFont="1" applyBorder="1" applyAlignment="1"/>
    <xf numFmtId="196" fontId="4" fillId="35" borderId="49" xfId="0" applyNumberFormat="1" applyFont="1" applyFill="1" applyBorder="1" applyAlignment="1"/>
    <xf numFmtId="196" fontId="4" fillId="35" borderId="21" xfId="0" applyNumberFormat="1" applyFont="1" applyFill="1" applyBorder="1"/>
    <xf numFmtId="196" fontId="4" fillId="35" borderId="23" xfId="0" applyNumberFormat="1" applyFont="1" applyFill="1" applyBorder="1"/>
    <xf numFmtId="196" fontId="4" fillId="35" borderId="50" xfId="0" applyNumberFormat="1" applyFont="1" applyFill="1" applyBorder="1"/>
    <xf numFmtId="0" fontId="4" fillId="0" borderId="25" xfId="0" applyFont="1" applyBorder="1" applyAlignment="1">
      <alignment horizontal="center" vertical="center"/>
    </xf>
    <xf numFmtId="196" fontId="4" fillId="0" borderId="8" xfId="0" applyNumberFormat="1" applyFont="1" applyBorder="1" applyAlignment="1"/>
    <xf numFmtId="0" fontId="4" fillId="0" borderId="25" xfId="0" applyFont="1" applyBorder="1" applyAlignment="1">
      <alignment wrapText="1"/>
    </xf>
    <xf numFmtId="196" fontId="4" fillId="0" borderId="20" xfId="0" applyNumberFormat="1" applyFont="1" applyBorder="1" applyAlignment="1"/>
    <xf numFmtId="196" fontId="4" fillId="0" borderId="20"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6"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35" borderId="23" xfId="20961" applyFont="1" applyFill="1" applyBorder="1"/>
    <xf numFmtId="170" fontId="4" fillId="0" borderId="19" xfId="0" applyNumberFormat="1" applyFont="1" applyBorder="1" applyAlignment="1"/>
    <xf numFmtId="0" fontId="4" fillId="35" borderId="23" xfId="0" applyFont="1" applyFill="1" applyBorder="1"/>
    <xf numFmtId="170" fontId="6" fillId="35" borderId="22" xfId="0" applyNumberFormat="1" applyFont="1" applyFill="1" applyBorder="1" applyAlignment="1">
      <alignment horizontal="center" vertical="center"/>
    </xf>
    <xf numFmtId="0" fontId="9" fillId="0" borderId="15" xfId="0" applyFont="1" applyFill="1" applyBorder="1" applyAlignment="1">
      <alignment horizontal="right" vertical="center" wrapText="1"/>
    </xf>
    <xf numFmtId="0" fontId="7" fillId="0" borderId="16" xfId="0" applyFont="1" applyFill="1" applyBorder="1" applyAlignment="1">
      <alignment vertical="center" wrapText="1"/>
    </xf>
    <xf numFmtId="172" fontId="26" fillId="36" borderId="0" xfId="20" applyBorder="1"/>
    <xf numFmtId="172" fontId="26" fillId="36" borderId="90" xfId="20" applyBorder="1"/>
    <xf numFmtId="0" fontId="4" fillId="0" borderId="7" xfId="0" applyFont="1" applyFill="1" applyBorder="1" applyAlignment="1">
      <alignment vertical="center"/>
    </xf>
    <xf numFmtId="0" fontId="4" fillId="0" borderId="97" xfId="0" applyFont="1" applyFill="1" applyBorder="1" applyAlignment="1">
      <alignment vertical="center"/>
    </xf>
    <xf numFmtId="0" fontId="6" fillId="0" borderId="97" xfId="0" applyFont="1" applyFill="1" applyBorder="1" applyAlignment="1">
      <alignment vertical="center"/>
    </xf>
    <xf numFmtId="0" fontId="4" fillId="0" borderId="16" xfId="0" applyFont="1" applyFill="1" applyBorder="1" applyAlignment="1">
      <alignment vertical="center"/>
    </xf>
    <xf numFmtId="0" fontId="4" fillId="0" borderId="92" xfId="0" applyFont="1" applyFill="1" applyBorder="1" applyAlignment="1">
      <alignment vertical="center"/>
    </xf>
    <xf numFmtId="0" fontId="4" fillId="0" borderId="94" xfId="0" applyFont="1" applyFill="1" applyBorder="1" applyAlignment="1">
      <alignment vertical="center"/>
    </xf>
    <xf numFmtId="0" fontId="4" fillId="0" borderId="15" xfId="0" applyFont="1" applyFill="1" applyBorder="1" applyAlignment="1">
      <alignment horizontal="center" vertical="center"/>
    </xf>
    <xf numFmtId="0" fontId="4" fillId="0" borderId="105" xfId="0" applyFont="1" applyFill="1" applyBorder="1" applyAlignment="1">
      <alignment horizontal="center" vertical="center"/>
    </xf>
    <xf numFmtId="0" fontId="4" fillId="0" borderId="107" xfId="0" applyFont="1" applyFill="1" applyBorder="1" applyAlignment="1">
      <alignment horizontal="center" vertical="center"/>
    </xf>
    <xf numFmtId="172" fontId="26" fillId="36" borderId="28" xfId="20" applyBorder="1"/>
    <xf numFmtId="172" fontId="26" fillId="36" borderId="109" xfId="20" applyBorder="1"/>
    <xf numFmtId="172" fontId="26" fillId="36" borderId="99" xfId="20" applyBorder="1"/>
    <xf numFmtId="172" fontId="26" fillId="36" borderId="53" xfId="20" applyBorder="1"/>
    <xf numFmtId="0" fontId="4" fillId="3" borderId="61" xfId="0" applyFont="1" applyFill="1" applyBorder="1" applyAlignment="1">
      <alignment horizontal="center" vertical="center"/>
    </xf>
    <xf numFmtId="0" fontId="4" fillId="3" borderId="0" xfId="0" applyFont="1" applyFill="1" applyBorder="1" applyAlignment="1">
      <alignment vertical="center"/>
    </xf>
    <xf numFmtId="0" fontId="4" fillId="0" borderId="67" xfId="0" applyFont="1" applyFill="1" applyBorder="1" applyAlignment="1">
      <alignment horizontal="center" vertical="center"/>
    </xf>
    <xf numFmtId="0" fontId="4" fillId="3" borderId="95"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0" xfId="0" applyFont="1"/>
    <xf numFmtId="0" fontId="4" fillId="0" borderId="0" xfId="0" applyFont="1" applyFill="1"/>
    <xf numFmtId="0" fontId="4" fillId="0" borderId="97" xfId="0" applyFont="1" applyFill="1" applyBorder="1" applyAlignment="1">
      <alignment horizontal="center" vertical="center" wrapText="1"/>
    </xf>
    <xf numFmtId="0" fontId="105" fillId="0" borderId="84" xfId="0" applyFont="1" applyFill="1" applyBorder="1" applyAlignment="1">
      <alignment horizontal="right" vertical="center"/>
    </xf>
    <xf numFmtId="0" fontId="4" fillId="0" borderId="112" xfId="0" applyFont="1" applyFill="1" applyBorder="1" applyAlignment="1">
      <alignment horizontal="center" vertical="center" wrapText="1"/>
    </xf>
    <xf numFmtId="0" fontId="6" fillId="3" borderId="113" xfId="0" applyFont="1" applyFill="1" applyBorder="1" applyAlignment="1">
      <alignment vertical="center"/>
    </xf>
    <xf numFmtId="0" fontId="4" fillId="0" borderId="114" xfId="0" applyFont="1" applyFill="1" applyBorder="1" applyAlignment="1">
      <alignment horizontal="center" vertical="center"/>
    </xf>
    <xf numFmtId="0" fontId="6" fillId="0" borderId="22" xfId="0" applyFont="1" applyFill="1" applyBorder="1" applyAlignment="1">
      <alignment vertical="center"/>
    </xf>
    <xf numFmtId="172" fontId="26" fillId="36" borderId="24" xfId="20" applyBorder="1"/>
    <xf numFmtId="0" fontId="4" fillId="0" borderId="7"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7" fillId="0" borderId="15" xfId="11" applyFont="1" applyFill="1" applyBorder="1" applyAlignment="1" applyProtection="1">
      <alignment vertical="center"/>
    </xf>
    <xf numFmtId="0" fontId="7" fillId="0" borderId="16" xfId="11" applyFont="1" applyFill="1" applyBorder="1" applyAlignment="1" applyProtection="1">
      <alignment vertical="center"/>
    </xf>
    <xf numFmtId="0" fontId="15" fillId="0" borderId="17" xfId="11" applyFont="1" applyFill="1" applyBorder="1" applyAlignment="1" applyProtection="1">
      <alignment horizontal="center" vertical="center"/>
    </xf>
    <xf numFmtId="0" fontId="0" fillId="0" borderId="114" xfId="0" applyBorder="1"/>
    <xf numFmtId="0" fontId="0" fillId="0" borderId="21" xfId="0" applyBorder="1"/>
    <xf numFmtId="0" fontId="6" fillId="35" borderId="115" xfId="0" applyFont="1" applyFill="1" applyBorder="1" applyAlignment="1">
      <alignment vertical="center" wrapText="1"/>
    </xf>
    <xf numFmtId="196" fontId="0" fillId="0" borderId="19" xfId="0" applyNumberFormat="1" applyFill="1" applyBorder="1" applyAlignment="1">
      <alignment wrapText="1"/>
    </xf>
    <xf numFmtId="0" fontId="7" fillId="0" borderId="0" xfId="0" applyFont="1" applyFill="1" applyAlignment="1">
      <alignment wrapText="1"/>
    </xf>
    <xf numFmtId="0" fontId="6" fillId="35" borderId="16" xfId="0" applyFont="1" applyFill="1" applyBorder="1" applyAlignment="1">
      <alignment horizontal="center" vertical="center" wrapText="1"/>
    </xf>
    <xf numFmtId="0" fontId="6" fillId="35" borderId="17" xfId="0" applyFont="1" applyFill="1" applyBorder="1" applyAlignment="1">
      <alignment horizontal="center" vertical="center" wrapText="1"/>
    </xf>
    <xf numFmtId="0" fontId="6" fillId="35" borderId="114" xfId="0" applyFont="1" applyFill="1" applyBorder="1" applyAlignment="1">
      <alignment horizontal="left" vertical="center" wrapText="1"/>
    </xf>
    <xf numFmtId="0" fontId="6" fillId="35" borderId="97" xfId="0" applyFont="1" applyFill="1" applyBorder="1" applyAlignment="1">
      <alignment horizontal="left" vertical="center" wrapText="1"/>
    </xf>
    <xf numFmtId="0" fontId="6" fillId="35" borderId="112" xfId="0" applyFont="1" applyFill="1" applyBorder="1" applyAlignment="1">
      <alignment horizontal="left" vertical="center" wrapText="1"/>
    </xf>
    <xf numFmtId="0" fontId="4" fillId="0" borderId="114" xfId="0" applyFont="1" applyFill="1" applyBorder="1" applyAlignment="1">
      <alignment horizontal="right" vertical="center" wrapText="1"/>
    </xf>
    <xf numFmtId="0" fontId="4" fillId="0" borderId="97" xfId="0" applyFont="1" applyFill="1" applyBorder="1" applyAlignment="1">
      <alignment horizontal="left" vertical="center" wrapText="1"/>
    </xf>
    <xf numFmtId="0" fontId="108" fillId="0" borderId="114" xfId="0" applyFont="1" applyFill="1" applyBorder="1" applyAlignment="1">
      <alignment horizontal="right" vertical="center" wrapText="1"/>
    </xf>
    <xf numFmtId="0" fontId="108" fillId="0" borderId="97" xfId="0" applyFont="1" applyFill="1" applyBorder="1" applyAlignment="1">
      <alignment horizontal="left" vertical="center" wrapText="1"/>
    </xf>
    <xf numFmtId="0" fontId="6" fillId="0" borderId="114"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21" xfId="5" applyNumberFormat="1" applyFont="1" applyFill="1" applyBorder="1" applyAlignment="1" applyProtection="1">
      <alignment horizontal="left" vertical="center"/>
      <protection locked="0"/>
    </xf>
    <xf numFmtId="0" fontId="110" fillId="0" borderId="22" xfId="9" applyFont="1" applyFill="1" applyBorder="1" applyAlignment="1" applyProtection="1">
      <alignment horizontal="left" vertical="center" wrapText="1"/>
      <protection locked="0"/>
    </xf>
    <xf numFmtId="0" fontId="20" fillId="0" borderId="114" xfId="0" applyFont="1" applyBorder="1" applyAlignment="1">
      <alignment horizontal="center" vertical="center" wrapText="1"/>
    </xf>
    <xf numFmtId="3" fontId="21" fillId="35" borderId="97" xfId="0" applyNumberFormat="1" applyFont="1" applyFill="1" applyBorder="1" applyAlignment="1">
      <alignment vertical="center" wrapText="1"/>
    </xf>
    <xf numFmtId="3" fontId="21" fillId="35" borderId="112" xfId="0" applyNumberFormat="1" applyFont="1" applyFill="1" applyBorder="1" applyAlignment="1">
      <alignment vertical="center" wrapText="1"/>
    </xf>
    <xf numFmtId="14" fontId="7" fillId="3" borderId="97" xfId="8" quotePrefix="1" applyNumberFormat="1" applyFont="1" applyFill="1" applyBorder="1" applyAlignment="1" applyProtection="1">
      <alignment horizontal="left" vertical="center" wrapText="1" indent="2"/>
      <protection locked="0"/>
    </xf>
    <xf numFmtId="3" fontId="21" fillId="0" borderId="97" xfId="0" applyNumberFormat="1" applyFont="1" applyBorder="1" applyAlignment="1">
      <alignment vertical="center" wrapText="1"/>
    </xf>
    <xf numFmtId="14" fontId="7" fillId="3" borderId="97" xfId="8" quotePrefix="1" applyNumberFormat="1" applyFont="1" applyFill="1" applyBorder="1" applyAlignment="1" applyProtection="1">
      <alignment horizontal="left" vertical="center" wrapText="1" indent="3"/>
      <protection locked="0"/>
    </xf>
    <xf numFmtId="3" fontId="21" fillId="0" borderId="97" xfId="0" applyNumberFormat="1" applyFont="1" applyFill="1" applyBorder="1" applyAlignment="1">
      <alignment vertical="center" wrapText="1"/>
    </xf>
    <xf numFmtId="0" fontId="11" fillId="0" borderId="97" xfId="17" applyFill="1" applyBorder="1" applyAlignment="1" applyProtection="1"/>
    <xf numFmtId="49" fontId="108" fillId="0" borderId="114" xfId="0" applyNumberFormat="1" applyFont="1" applyFill="1" applyBorder="1" applyAlignment="1">
      <alignment horizontal="right" vertical="center" wrapText="1"/>
    </xf>
    <xf numFmtId="0" fontId="7" fillId="3" borderId="97" xfId="20960" applyFont="1" applyFill="1" applyBorder="1" applyAlignment="1" applyProtection="1"/>
    <xf numFmtId="0" fontId="102" fillId="0" borderId="97" xfId="20960" applyFont="1" applyFill="1" applyBorder="1" applyAlignment="1" applyProtection="1">
      <alignment horizontal="center" vertical="center"/>
    </xf>
    <xf numFmtId="0" fontId="4" fillId="0" borderId="97" xfId="0" applyFont="1" applyBorder="1"/>
    <xf numFmtId="0" fontId="11" fillId="0" borderId="97" xfId="17" applyFill="1" applyBorder="1" applyAlignment="1" applyProtection="1">
      <alignment horizontal="left" vertical="center" wrapText="1"/>
    </xf>
    <xf numFmtId="49" fontId="108" fillId="0" borderId="97" xfId="0" applyNumberFormat="1" applyFont="1" applyFill="1" applyBorder="1" applyAlignment="1">
      <alignment horizontal="right" vertical="center" wrapText="1"/>
    </xf>
    <xf numFmtId="0" fontId="11" fillId="0" borderId="97" xfId="17" applyFill="1" applyBorder="1" applyAlignment="1" applyProtection="1">
      <alignment horizontal="left" vertical="center"/>
    </xf>
    <xf numFmtId="0" fontId="4" fillId="0" borderId="97" xfId="0" applyFont="1" applyFill="1" applyBorder="1"/>
    <xf numFmtId="0" fontId="20" fillId="0" borderId="114" xfId="0" applyFont="1" applyFill="1" applyBorder="1" applyAlignment="1">
      <alignment horizontal="center" vertical="center" wrapText="1"/>
    </xf>
    <xf numFmtId="1" fontId="4" fillId="0" borderId="112" xfId="0" applyNumberFormat="1" applyFont="1" applyFill="1" applyBorder="1" applyAlignment="1">
      <alignment horizontal="right" vertical="center" wrapText="1"/>
    </xf>
    <xf numFmtId="1" fontId="6" fillId="35" borderId="112" xfId="0" applyNumberFormat="1" applyFont="1" applyFill="1" applyBorder="1" applyAlignment="1">
      <alignment horizontal="right" vertical="center" wrapText="1"/>
    </xf>
    <xf numFmtId="1" fontId="108" fillId="0" borderId="112" xfId="0" applyNumberFormat="1" applyFont="1" applyFill="1" applyBorder="1" applyAlignment="1">
      <alignment horizontal="right" vertical="center" wrapText="1"/>
    </xf>
    <xf numFmtId="1" fontId="6" fillId="35" borderId="112" xfId="0" applyNumberFormat="1" applyFont="1" applyFill="1" applyBorder="1" applyAlignment="1">
      <alignment horizontal="center" vertical="center" wrapText="1"/>
    </xf>
    <xf numFmtId="1" fontId="7" fillId="0" borderId="23" xfId="1" applyNumberFormat="1" applyFont="1" applyFill="1" applyBorder="1" applyAlignment="1" applyProtection="1">
      <alignment horizontal="right" vertical="center"/>
    </xf>
    <xf numFmtId="10" fontId="7" fillId="0" borderId="97" xfId="20961" applyNumberFormat="1" applyFont="1" applyFill="1" applyBorder="1" applyAlignment="1">
      <alignment horizontal="left" vertical="center" wrapText="1"/>
    </xf>
    <xf numFmtId="10" fontId="4" fillId="0"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left" vertical="center" wrapText="1"/>
    </xf>
    <xf numFmtId="10" fontId="108" fillId="0"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center" vertical="center" wrapText="1"/>
    </xf>
    <xf numFmtId="10" fontId="110" fillId="0" borderId="22" xfId="20961" applyNumberFormat="1" applyFont="1" applyFill="1" applyBorder="1" applyAlignment="1" applyProtection="1">
      <alignment horizontal="left" vertical="center"/>
    </xf>
    <xf numFmtId="43" fontId="7" fillId="0" borderId="0" xfId="7" applyFont="1"/>
    <xf numFmtId="0" fontId="106" fillId="0" borderId="0" xfId="0" applyFont="1" applyAlignment="1">
      <alignment wrapText="1"/>
    </xf>
    <xf numFmtId="0" fontId="10" fillId="0" borderId="25" xfId="0" applyFont="1" applyBorder="1" applyAlignment="1">
      <alignment horizontal="center" wrapText="1"/>
    </xf>
    <xf numFmtId="0" fontId="9" fillId="0" borderId="114" xfId="0" applyFont="1" applyBorder="1" applyAlignment="1">
      <alignment horizontal="right" vertical="center" wrapText="1"/>
    </xf>
    <xf numFmtId="0" fontId="9" fillId="0" borderId="114" xfId="0" applyFont="1" applyFill="1" applyBorder="1" applyAlignment="1">
      <alignment horizontal="right" vertical="center" wrapText="1"/>
    </xf>
    <xf numFmtId="0" fontId="7" fillId="0" borderId="97" xfId="0" applyFont="1" applyFill="1" applyBorder="1" applyAlignment="1">
      <alignment vertical="center" wrapText="1"/>
    </xf>
    <xf numFmtId="0" fontId="4" fillId="0" borderId="97" xfId="0" applyFont="1" applyBorder="1" applyAlignment="1">
      <alignment vertical="center" wrapText="1"/>
    </xf>
    <xf numFmtId="0" fontId="4" fillId="0" borderId="97" xfId="0" applyFont="1" applyFill="1" applyBorder="1" applyAlignment="1">
      <alignment horizontal="left" vertical="center" wrapText="1" indent="2"/>
    </xf>
    <xf numFmtId="0" fontId="4" fillId="0" borderId="97" xfId="0" applyFont="1" applyFill="1" applyBorder="1" applyAlignment="1">
      <alignment vertical="center" wrapText="1"/>
    </xf>
    <xf numFmtId="3" fontId="21" fillId="35" borderId="98" xfId="0" applyNumberFormat="1" applyFont="1" applyFill="1" applyBorder="1" applyAlignment="1">
      <alignment vertical="center" wrapText="1"/>
    </xf>
    <xf numFmtId="3" fontId="21" fillId="35" borderId="20"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3" fontId="21" fillId="35" borderId="35" xfId="0" applyNumberFormat="1" applyFont="1" applyFill="1" applyBorder="1" applyAlignment="1">
      <alignment vertical="center" wrapText="1"/>
    </xf>
    <xf numFmtId="0" fontId="6" fillId="0" borderId="22" xfId="0" applyFont="1" applyBorder="1" applyAlignment="1">
      <alignment vertical="center" wrapText="1"/>
    </xf>
    <xf numFmtId="0" fontId="4" fillId="0" borderId="23" xfId="0" applyFont="1" applyBorder="1" applyAlignment="1"/>
    <xf numFmtId="0" fontId="9" fillId="0" borderId="112" xfId="0" applyFont="1" applyBorder="1" applyAlignment="1"/>
    <xf numFmtId="0" fontId="9" fillId="0" borderId="112" xfId="0" applyFont="1" applyBorder="1" applyAlignment="1">
      <alignment wrapText="1"/>
    </xf>
    <xf numFmtId="0" fontId="10" fillId="0" borderId="17" xfId="0" applyFont="1" applyBorder="1" applyAlignment="1">
      <alignment horizontal="center"/>
    </xf>
    <xf numFmtId="0" fontId="2" fillId="0" borderId="16" xfId="0" applyNumberFormat="1" applyFont="1" applyFill="1" applyBorder="1" applyAlignment="1">
      <alignment horizontal="left" vertical="center" wrapText="1" indent="1"/>
    </xf>
    <xf numFmtId="0" fontId="2" fillId="0" borderId="17" xfId="0" applyNumberFormat="1" applyFont="1" applyFill="1" applyBorder="1" applyAlignment="1">
      <alignment horizontal="left" vertical="center" wrapText="1" indent="1"/>
    </xf>
    <xf numFmtId="0" fontId="9" fillId="0" borderId="114" xfId="0" applyFont="1" applyFill="1" applyBorder="1" applyAlignment="1">
      <alignment horizontal="center" vertical="center" wrapText="1"/>
    </xf>
    <xf numFmtId="0" fontId="15" fillId="0" borderId="97" xfId="0" applyFont="1" applyFill="1" applyBorder="1" applyAlignment="1">
      <alignment horizontal="center" vertical="center" wrapText="1"/>
    </xf>
    <xf numFmtId="0" fontId="16" fillId="0" borderId="97" xfId="0" applyFont="1" applyFill="1" applyBorder="1" applyAlignment="1">
      <alignment horizontal="left" vertical="center" wrapText="1"/>
    </xf>
    <xf numFmtId="0" fontId="7" fillId="0" borderId="97" xfId="0" applyFont="1" applyBorder="1" applyAlignment="1">
      <alignment vertical="center" wrapText="1"/>
    </xf>
    <xf numFmtId="0" fontId="9" fillId="2" borderId="114" xfId="0" applyFont="1" applyFill="1" applyBorder="1" applyAlignment="1">
      <alignment horizontal="right" vertical="center"/>
    </xf>
    <xf numFmtId="0" fontId="9" fillId="2" borderId="97" xfId="0" applyFont="1" applyFill="1" applyBorder="1" applyAlignment="1">
      <alignment vertical="center"/>
    </xf>
    <xf numFmtId="196" fontId="9" fillId="2" borderId="97" xfId="0" applyNumberFormat="1" applyFont="1" applyFill="1" applyBorder="1" applyAlignment="1" applyProtection="1">
      <alignment vertical="center"/>
      <protection locked="0"/>
    </xf>
    <xf numFmtId="0" fontId="15" fillId="0" borderId="114"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2"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7" xfId="0" applyFont="1" applyFill="1" applyBorder="1" applyAlignment="1">
      <alignment horizontal="center"/>
    </xf>
    <xf numFmtId="0" fontId="4" fillId="0" borderId="97" xfId="0" applyFont="1" applyBorder="1" applyAlignment="1">
      <alignment horizontal="center"/>
    </xf>
    <xf numFmtId="0" fontId="4" fillId="3" borderId="6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0" xfId="0" applyFont="1" applyFill="1" applyBorder="1" applyAlignment="1">
      <alignment horizontal="center" vertical="center" wrapText="1"/>
    </xf>
    <xf numFmtId="0" fontId="4" fillId="0" borderId="114" xfId="0" applyFont="1" applyBorder="1"/>
    <xf numFmtId="0" fontId="4" fillId="0" borderId="97" xfId="0" applyFont="1" applyBorder="1" applyAlignment="1">
      <alignment wrapText="1"/>
    </xf>
    <xf numFmtId="167" fontId="4" fillId="0" borderId="97" xfId="7" applyNumberFormat="1" applyFont="1" applyBorder="1"/>
    <xf numFmtId="167" fontId="4" fillId="0" borderId="112" xfId="7" applyNumberFormat="1" applyFont="1" applyBorder="1"/>
    <xf numFmtId="0" fontId="14" fillId="0" borderId="97" xfId="0" applyFont="1" applyBorder="1" applyAlignment="1">
      <alignment horizontal="left" wrapText="1" indent="2"/>
    </xf>
    <xf numFmtId="172" fontId="26" fillId="36" borderId="97" xfId="20" applyBorder="1"/>
    <xf numFmtId="167" fontId="4" fillId="0" borderId="97" xfId="7" applyNumberFormat="1" applyFont="1" applyBorder="1" applyAlignment="1">
      <alignment vertical="center"/>
    </xf>
    <xf numFmtId="0" fontId="6" fillId="0" borderId="114" xfId="0" applyFont="1" applyBorder="1"/>
    <xf numFmtId="0" fontId="6" fillId="0" borderId="97" xfId="0" applyFont="1" applyBorder="1" applyAlignment="1">
      <alignment wrapText="1"/>
    </xf>
    <xf numFmtId="167" fontId="6" fillId="0" borderId="112" xfId="7" applyNumberFormat="1" applyFont="1" applyBorder="1"/>
    <xf numFmtId="0" fontId="3" fillId="3" borderId="61" xfId="0" applyFont="1" applyFill="1" applyBorder="1" applyAlignment="1">
      <alignment horizontal="left"/>
    </xf>
    <xf numFmtId="167" fontId="4" fillId="3" borderId="0" xfId="7" applyNumberFormat="1" applyFont="1" applyFill="1" applyBorder="1"/>
    <xf numFmtId="167" fontId="4" fillId="3" borderId="0" xfId="7" applyNumberFormat="1" applyFont="1" applyFill="1" applyBorder="1" applyAlignment="1">
      <alignment vertical="center"/>
    </xf>
    <xf numFmtId="167" fontId="4" fillId="3" borderId="90" xfId="7" applyNumberFormat="1" applyFont="1" applyFill="1" applyBorder="1"/>
    <xf numFmtId="167" fontId="4" fillId="0" borderId="97" xfId="7" applyNumberFormat="1" applyFont="1" applyFill="1" applyBorder="1"/>
    <xf numFmtId="167" fontId="4" fillId="0" borderId="97" xfId="7" applyNumberFormat="1" applyFont="1" applyFill="1" applyBorder="1" applyAlignment="1">
      <alignment vertical="center"/>
    </xf>
    <xf numFmtId="0" fontId="14" fillId="0" borderId="97"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0" xfId="0" applyFont="1" applyFill="1" applyBorder="1"/>
    <xf numFmtId="0" fontId="6" fillId="0" borderId="21" xfId="0" applyFont="1" applyBorder="1"/>
    <xf numFmtId="0" fontId="6" fillId="0" borderId="22" xfId="0" applyFont="1" applyBorder="1" applyAlignment="1">
      <alignment wrapText="1"/>
    </xf>
    <xf numFmtId="172" fontId="26" fillId="36" borderId="115" xfId="20" applyBorder="1"/>
    <xf numFmtId="10" fontId="6" fillId="0" borderId="23" xfId="20961" applyNumberFormat="1" applyFont="1" applyBorder="1"/>
    <xf numFmtId="0" fontId="9" fillId="2" borderId="105" xfId="0" applyFont="1" applyFill="1" applyBorder="1" applyAlignment="1">
      <alignment horizontal="right" vertical="center"/>
    </xf>
    <xf numFmtId="0" fontId="9" fillId="2" borderId="92" xfId="0" applyFont="1" applyFill="1" applyBorder="1" applyAlignment="1">
      <alignment vertical="center"/>
    </xf>
    <xf numFmtId="196" fontId="17" fillId="2" borderId="106" xfId="0" applyNumberFormat="1" applyFont="1" applyFill="1" applyBorder="1" applyAlignment="1" applyProtection="1">
      <alignment vertical="center"/>
      <protection locked="0"/>
    </xf>
    <xf numFmtId="0" fontId="9" fillId="0" borderId="97" xfId="0" applyFont="1" applyFill="1" applyBorder="1" applyAlignment="1">
      <alignment horizontal="left" vertical="center" wrapText="1"/>
    </xf>
    <xf numFmtId="0" fontId="6" fillId="3" borderId="0" xfId="0" applyFont="1" applyFill="1" applyBorder="1" applyAlignment="1">
      <alignment horizontal="center"/>
    </xf>
    <xf numFmtId="0" fontId="105" fillId="0" borderId="84" xfId="0" applyFont="1" applyFill="1" applyBorder="1" applyAlignment="1">
      <alignment horizontal="left" vertical="center"/>
    </xf>
    <xf numFmtId="0" fontId="105" fillId="0" borderId="82" xfId="0" applyFont="1" applyFill="1" applyBorder="1" applyAlignment="1">
      <alignment vertical="center" wrapText="1"/>
    </xf>
    <xf numFmtId="0" fontId="105" fillId="0" borderId="82"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14" fontId="116" fillId="0" borderId="0" xfId="0" applyNumberFormat="1" applyFont="1"/>
    <xf numFmtId="0" fontId="116" fillId="0" borderId="0" xfId="0" applyFont="1" applyAlignment="1">
      <alignment wrapText="1"/>
    </xf>
    <xf numFmtId="0" fontId="119" fillId="0" borderId="0" xfId="0" applyFont="1"/>
    <xf numFmtId="0" fontId="116" fillId="0" borderId="0" xfId="0" applyFont="1" applyFill="1"/>
    <xf numFmtId="0" fontId="116" fillId="0" borderId="0" xfId="0" applyFont="1" applyBorder="1"/>
    <xf numFmtId="0" fontId="116" fillId="0" borderId="0" xfId="0" applyFont="1" applyBorder="1" applyAlignment="1">
      <alignment horizontal="left"/>
    </xf>
    <xf numFmtId="0" fontId="118" fillId="0" borderId="128" xfId="0" applyNumberFormat="1" applyFont="1" applyFill="1" applyBorder="1" applyAlignment="1">
      <alignment horizontal="left" vertical="center" wrapText="1"/>
    </xf>
    <xf numFmtId="0" fontId="124" fillId="0" borderId="0" xfId="0" applyFont="1"/>
    <xf numFmtId="49" fontId="105" fillId="0" borderId="97" xfId="0" applyNumberFormat="1" applyFont="1" applyFill="1" applyBorder="1" applyAlignment="1">
      <alignment horizontal="right" vertical="center"/>
    </xf>
    <xf numFmtId="0" fontId="125" fillId="0" borderId="0" xfId="0" applyFont="1" applyFill="1" applyBorder="1" applyAlignment="1"/>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0" xfId="0" applyFont="1" applyFill="1" applyAlignment="1">
      <alignment horizontal="left" vertical="top" wrapText="1"/>
    </xf>
    <xf numFmtId="0" fontId="9" fillId="0" borderId="97" xfId="0" applyFont="1" applyFill="1" applyBorder="1" applyAlignment="1" applyProtection="1">
      <alignment horizontal="center" vertical="center" wrapText="1"/>
    </xf>
    <xf numFmtId="0" fontId="3" fillId="0" borderId="97" xfId="0" applyFont="1" applyBorder="1" applyAlignment="1">
      <alignment horizontal="center" vertical="center"/>
    </xf>
    <xf numFmtId="0" fontId="129" fillId="3" borderId="97" xfId="21414" applyFont="1" applyFill="1" applyBorder="1" applyAlignment="1">
      <alignment horizontal="left" vertical="center" wrapText="1"/>
    </xf>
    <xf numFmtId="0" fontId="130" fillId="0" borderId="97" xfId="21414" applyFont="1" applyFill="1" applyBorder="1" applyAlignment="1">
      <alignment horizontal="left" vertical="center" wrapText="1" indent="1"/>
    </xf>
    <xf numFmtId="0" fontId="131" fillId="3" borderId="97" xfId="21414" applyFont="1" applyFill="1" applyBorder="1" applyAlignment="1">
      <alignment horizontal="left" vertical="center" wrapText="1"/>
    </xf>
    <xf numFmtId="0" fontId="130" fillId="3" borderId="97" xfId="21414" applyFont="1" applyFill="1" applyBorder="1" applyAlignment="1">
      <alignment horizontal="left" vertical="center" wrapText="1" indent="1"/>
    </xf>
    <xf numFmtId="0" fontId="129" fillId="0" borderId="135" xfId="0" applyFont="1" applyFill="1" applyBorder="1" applyAlignment="1">
      <alignment horizontal="left" vertical="center" wrapText="1"/>
    </xf>
    <xf numFmtId="0" fontId="131" fillId="0" borderId="135" xfId="0" applyFont="1" applyFill="1" applyBorder="1" applyAlignment="1">
      <alignment horizontal="left" vertical="center" wrapText="1"/>
    </xf>
    <xf numFmtId="0" fontId="132" fillId="3" borderId="135" xfId="0" applyFont="1" applyFill="1" applyBorder="1" applyAlignment="1">
      <alignment horizontal="left" vertical="center" wrapText="1" indent="1"/>
    </xf>
    <xf numFmtId="0" fontId="131" fillId="3" borderId="135" xfId="0" applyFont="1" applyFill="1" applyBorder="1" applyAlignment="1">
      <alignment horizontal="left" vertical="center" wrapText="1"/>
    </xf>
    <xf numFmtId="0" fontId="131" fillId="3" borderId="136" xfId="0" applyFont="1" applyFill="1" applyBorder="1" applyAlignment="1">
      <alignment horizontal="left" vertical="center" wrapText="1"/>
    </xf>
    <xf numFmtId="0" fontId="132" fillId="0" borderId="135" xfId="0" applyFont="1" applyFill="1" applyBorder="1" applyAlignment="1">
      <alignment horizontal="left" vertical="center" wrapText="1" indent="1"/>
    </xf>
    <xf numFmtId="0" fontId="132" fillId="0" borderId="97" xfId="21414" applyFont="1" applyFill="1" applyBorder="1" applyAlignment="1">
      <alignment horizontal="left" vertical="center" wrapText="1" indent="1"/>
    </xf>
    <xf numFmtId="0" fontId="131" fillId="0" borderId="97" xfId="21414" applyFont="1" applyFill="1" applyBorder="1" applyAlignment="1">
      <alignment horizontal="left" vertical="center" wrapText="1"/>
    </xf>
    <xf numFmtId="0" fontId="133" fillId="0" borderId="97" xfId="21414" applyFont="1" applyFill="1" applyBorder="1" applyAlignment="1">
      <alignment horizontal="center" vertical="center" wrapText="1"/>
    </xf>
    <xf numFmtId="0" fontId="131" fillId="3" borderId="137" xfId="0" applyFont="1" applyFill="1" applyBorder="1" applyAlignment="1">
      <alignment horizontal="left" vertical="center" wrapText="1"/>
    </xf>
    <xf numFmtId="0" fontId="0" fillId="0" borderId="138" xfId="0" applyBorder="1"/>
    <xf numFmtId="0" fontId="0" fillId="35" borderId="138" xfId="0" applyFill="1" applyBorder="1"/>
    <xf numFmtId="0" fontId="130" fillId="3" borderId="138" xfId="21414" applyFont="1" applyFill="1" applyBorder="1" applyAlignment="1">
      <alignment horizontal="left" vertical="center" wrapText="1" indent="1"/>
    </xf>
    <xf numFmtId="0" fontId="130" fillId="3" borderId="135" xfId="0" applyFont="1" applyFill="1" applyBorder="1" applyAlignment="1">
      <alignment horizontal="left" vertical="center" wrapText="1" indent="1"/>
    </xf>
    <xf numFmtId="0" fontId="130" fillId="0" borderId="138" xfId="21414" applyFont="1" applyFill="1" applyBorder="1" applyAlignment="1">
      <alignment horizontal="left" vertical="center" wrapText="1" indent="1"/>
    </xf>
    <xf numFmtId="0" fontId="131" fillId="0" borderId="135" xfId="0" applyFont="1" applyBorder="1" applyAlignment="1">
      <alignment horizontal="left" vertical="center" wrapText="1"/>
    </xf>
    <xf numFmtId="0" fontId="130" fillId="0" borderId="135" xfId="0" applyFont="1" applyBorder="1" applyAlignment="1">
      <alignment horizontal="left" vertical="center" wrapText="1" indent="1"/>
    </xf>
    <xf numFmtId="0" fontId="130" fillId="0" borderId="136" xfId="0" applyFont="1" applyBorder="1" applyAlignment="1">
      <alignment horizontal="left" vertical="center" wrapText="1" indent="1"/>
    </xf>
    <xf numFmtId="0" fontId="131" fillId="0" borderId="138" xfId="21414" applyFont="1" applyFill="1" applyBorder="1" applyAlignment="1">
      <alignment horizontal="left" vertical="center" wrapText="1"/>
    </xf>
    <xf numFmtId="0" fontId="131" fillId="3" borderId="138" xfId="21414" applyFont="1" applyFill="1" applyBorder="1" applyAlignment="1">
      <alignment horizontal="left" vertical="center" wrapText="1"/>
    </xf>
    <xf numFmtId="0" fontId="133" fillId="0" borderId="138" xfId="21414" applyFont="1" applyFill="1" applyBorder="1" applyAlignment="1">
      <alignment horizontal="center" vertical="center" wrapText="1"/>
    </xf>
    <xf numFmtId="0" fontId="131" fillId="0" borderId="138" xfId="21414" applyFont="1" applyBorder="1" applyAlignment="1">
      <alignment horizontal="left" vertical="center" wrapText="1"/>
    </xf>
    <xf numFmtId="0" fontId="130" fillId="0" borderId="135" xfId="0" applyFont="1" applyFill="1" applyBorder="1" applyAlignment="1">
      <alignment horizontal="left" vertical="center" wrapText="1" indent="1"/>
    </xf>
    <xf numFmtId="0" fontId="134" fillId="0" borderId="138" xfId="0" applyFont="1" applyBorder="1" applyAlignment="1">
      <alignment horizontal="left"/>
    </xf>
    <xf numFmtId="0" fontId="131" fillId="0" borderId="138" xfId="0" applyFont="1" applyFill="1" applyBorder="1" applyAlignment="1">
      <alignment horizontal="left" vertical="center" wrapText="1"/>
    </xf>
    <xf numFmtId="0" fontId="0" fillId="0" borderId="0" xfId="0" applyAlignment="1">
      <alignment horizontal="left" vertical="center"/>
    </xf>
    <xf numFmtId="0" fontId="9" fillId="0" borderId="138" xfId="0" applyFont="1" applyFill="1" applyBorder="1" applyAlignment="1" applyProtection="1">
      <alignment horizontal="center" vertical="center" wrapText="1"/>
    </xf>
    <xf numFmtId="0" fontId="131" fillId="0" borderId="143" xfId="0" applyFont="1" applyFill="1" applyBorder="1" applyAlignment="1">
      <alignment horizontal="justify" vertical="center" wrapText="1"/>
    </xf>
    <xf numFmtId="0" fontId="130" fillId="0" borderId="137" xfId="0" applyFont="1" applyFill="1" applyBorder="1" applyAlignment="1">
      <alignment horizontal="left" vertical="center" wrapText="1" indent="1"/>
    </xf>
    <xf numFmtId="0" fontId="130" fillId="0" borderId="136" xfId="0" applyFont="1" applyFill="1" applyBorder="1" applyAlignment="1">
      <alignment horizontal="left" vertical="center" wrapText="1" indent="1"/>
    </xf>
    <xf numFmtId="0" fontId="131" fillId="0" borderId="135" xfId="0" applyFont="1" applyFill="1" applyBorder="1" applyAlignment="1">
      <alignment horizontal="justify" vertical="center" wrapText="1"/>
    </xf>
    <xf numFmtId="0" fontId="129" fillId="0" borderId="135" xfId="0" applyFont="1" applyFill="1" applyBorder="1" applyAlignment="1">
      <alignment horizontal="justify" vertical="center" wrapText="1"/>
    </xf>
    <xf numFmtId="0" fontId="131" fillId="3" borderId="135" xfId="0" applyFont="1" applyFill="1" applyBorder="1" applyAlignment="1">
      <alignment horizontal="justify" vertical="center" wrapText="1"/>
    </xf>
    <xf numFmtId="0" fontId="131" fillId="0" borderId="136" xfId="0" applyFont="1" applyFill="1" applyBorder="1" applyAlignment="1">
      <alignment horizontal="justify" vertical="center" wrapText="1"/>
    </xf>
    <xf numFmtId="0" fontId="131" fillId="0" borderId="137" xfId="0" applyFont="1" applyFill="1" applyBorder="1" applyAlignment="1">
      <alignment horizontal="justify" vertical="center" wrapText="1"/>
    </xf>
    <xf numFmtId="0" fontId="131" fillId="0" borderId="138" xfId="21414" applyFont="1" applyFill="1" applyBorder="1" applyAlignment="1">
      <alignment horizontal="justify" vertical="center" wrapText="1"/>
    </xf>
    <xf numFmtId="0" fontId="132" fillId="0" borderId="129" xfId="0" applyFont="1" applyFill="1" applyBorder="1" applyAlignment="1">
      <alignment horizontal="left" vertical="center" wrapText="1" indent="1"/>
    </xf>
    <xf numFmtId="0" fontId="129" fillId="0" borderId="135" xfId="0" applyFont="1" applyFill="1" applyBorder="1" applyAlignment="1">
      <alignment vertical="center" wrapText="1"/>
    </xf>
    <xf numFmtId="0" fontId="131" fillId="0" borderId="135" xfId="0" applyFont="1" applyFill="1" applyBorder="1" applyAlignment="1">
      <alignment vertical="center" wrapText="1"/>
    </xf>
    <xf numFmtId="0" fontId="131" fillId="0" borderId="138" xfId="21414" applyFont="1" applyFill="1" applyBorder="1" applyAlignment="1">
      <alignment vertical="center" wrapText="1"/>
    </xf>
    <xf numFmtId="0" fontId="9" fillId="0" borderId="112" xfId="0" applyFont="1" applyFill="1" applyBorder="1" applyAlignment="1" applyProtection="1">
      <alignment horizontal="center" vertical="center" wrapText="1"/>
    </xf>
    <xf numFmtId="0" fontId="0" fillId="0" borderId="138" xfId="0" applyBorder="1" applyAlignment="1">
      <alignment horizontal="center"/>
    </xf>
    <xf numFmtId="196" fontId="9" fillId="0" borderId="138" xfId="0" applyNumberFormat="1" applyFont="1" applyFill="1" applyBorder="1" applyAlignment="1" applyProtection="1">
      <alignment horizontal="right"/>
    </xf>
    <xf numFmtId="196" fontId="9" fillId="35" borderId="138" xfId="0" applyNumberFormat="1" applyFont="1" applyFill="1" applyBorder="1" applyAlignment="1" applyProtection="1">
      <alignment horizontal="right"/>
    </xf>
    <xf numFmtId="196" fontId="9" fillId="35" borderId="112" xfId="0" applyNumberFormat="1" applyFont="1" applyFill="1" applyBorder="1" applyAlignment="1" applyProtection="1">
      <alignment horizontal="right"/>
    </xf>
    <xf numFmtId="0" fontId="15" fillId="0" borderId="138" xfId="0" applyNumberFormat="1" applyFont="1" applyFill="1" applyBorder="1" applyAlignment="1">
      <alignment vertical="center" wrapText="1"/>
    </xf>
    <xf numFmtId="0" fontId="7" fillId="0" borderId="138" xfId="0" applyNumberFormat="1" applyFont="1" applyFill="1" applyBorder="1" applyAlignment="1">
      <alignment horizontal="left" vertical="center" wrapText="1" indent="1"/>
    </xf>
    <xf numFmtId="0" fontId="3" fillId="0" borderId="138" xfId="0" applyFont="1" applyBorder="1" applyAlignment="1">
      <alignment vertical="center"/>
    </xf>
    <xf numFmtId="0" fontId="135" fillId="0" borderId="138" xfId="0" applyFont="1" applyFill="1" applyBorder="1" applyAlignment="1" applyProtection="1">
      <alignment horizontal="left" vertical="center" indent="1"/>
      <protection locked="0"/>
    </xf>
    <xf numFmtId="0" fontId="136" fillId="0" borderId="138" xfId="0" applyFont="1" applyFill="1" applyBorder="1" applyAlignment="1" applyProtection="1">
      <alignment horizontal="left" vertical="center" indent="3"/>
      <protection locked="0"/>
    </xf>
    <xf numFmtId="0" fontId="137" fillId="0" borderId="138" xfId="0" applyFont="1" applyFill="1" applyBorder="1" applyAlignment="1" applyProtection="1">
      <alignment horizontal="left" vertical="center" indent="3"/>
      <protection locked="0"/>
    </xf>
    <xf numFmtId="0" fontId="3" fillId="0" borderId="138" xfId="0" applyFont="1" applyFill="1" applyBorder="1" applyAlignment="1">
      <alignment vertical="center"/>
    </xf>
    <xf numFmtId="0" fontId="3" fillId="0" borderId="138" xfId="0" applyFont="1" applyBorder="1"/>
    <xf numFmtId="0" fontId="0" fillId="0" borderId="0" xfId="0" applyAlignment="1">
      <alignment horizontal="center"/>
    </xf>
    <xf numFmtId="196" fontId="9" fillId="0" borderId="0" xfId="0" applyNumberFormat="1" applyFont="1" applyFill="1" applyBorder="1" applyAlignment="1" applyProtection="1">
      <alignment horizontal="right"/>
    </xf>
    <xf numFmtId="49" fontId="105" fillId="0" borderId="138" xfId="0" applyNumberFormat="1" applyFont="1" applyFill="1" applyBorder="1" applyAlignment="1">
      <alignment horizontal="right" vertical="center"/>
    </xf>
    <xf numFmtId="0" fontId="0" fillId="0" borderId="138" xfId="0" applyBorder="1" applyAlignment="1">
      <alignment horizontal="center" vertical="center"/>
    </xf>
    <xf numFmtId="43" fontId="4" fillId="0" borderId="138" xfId="7" applyFont="1" applyFill="1" applyBorder="1" applyAlignment="1">
      <alignment vertical="center" wrapText="1"/>
    </xf>
    <xf numFmtId="43" fontId="4" fillId="0" borderId="97" xfId="7" applyFont="1" applyBorder="1" applyAlignment="1">
      <alignment vertical="center"/>
    </xf>
    <xf numFmtId="43" fontId="4" fillId="0" borderId="138" xfId="7" applyFont="1" applyBorder="1" applyAlignment="1">
      <alignment vertical="center"/>
    </xf>
    <xf numFmtId="0" fontId="0" fillId="0" borderId="142" xfId="0" applyBorder="1" applyAlignment="1">
      <alignment horizontal="center"/>
    </xf>
    <xf numFmtId="0" fontId="130" fillId="0" borderId="142" xfId="21414" applyFont="1" applyFill="1" applyBorder="1" applyAlignment="1">
      <alignment horizontal="left" vertical="center" wrapText="1" indent="1"/>
    </xf>
    <xf numFmtId="0" fontId="130" fillId="3" borderId="138" xfId="0" applyFont="1" applyFill="1" applyBorder="1" applyAlignment="1">
      <alignment horizontal="left" vertical="center" wrapText="1" indent="1"/>
    </xf>
    <xf numFmtId="170" fontId="23" fillId="0" borderId="138" xfId="0" applyNumberFormat="1" applyFont="1" applyBorder="1" applyAlignment="1">
      <alignment horizontal="center"/>
    </xf>
    <xf numFmtId="0" fontId="131" fillId="0" borderId="138" xfId="0" applyFont="1" applyBorder="1" applyAlignment="1">
      <alignment horizontal="left" vertical="center" wrapText="1"/>
    </xf>
    <xf numFmtId="0" fontId="23" fillId="0" borderId="138" xfId="0" applyFont="1" applyBorder="1"/>
    <xf numFmtId="0" fontId="130" fillId="0" borderId="138" xfId="0" applyFont="1" applyBorder="1" applyAlignment="1">
      <alignment horizontal="left" vertical="center" wrapText="1" indent="1"/>
    </xf>
    <xf numFmtId="0" fontId="130" fillId="0" borderId="138" xfId="0" applyFont="1" applyFill="1" applyBorder="1" applyAlignment="1">
      <alignment horizontal="left" vertical="center" wrapText="1" indent="1"/>
    </xf>
    <xf numFmtId="0" fontId="132" fillId="3" borderId="138" xfId="0" applyFont="1" applyFill="1" applyBorder="1" applyAlignment="1">
      <alignment horizontal="left" vertical="center" wrapText="1" indent="1"/>
    </xf>
    <xf numFmtId="0" fontId="132" fillId="0" borderId="138" xfId="0" applyFont="1" applyFill="1" applyBorder="1" applyAlignment="1">
      <alignment horizontal="left" vertical="center" wrapText="1" indent="1"/>
    </xf>
    <xf numFmtId="170" fontId="23" fillId="0" borderId="138" xfId="0" applyNumberFormat="1" applyFont="1" applyFill="1" applyBorder="1" applyAlignment="1">
      <alignment horizontal="center"/>
    </xf>
    <xf numFmtId="170" fontId="22" fillId="0" borderId="54" xfId="0" applyNumberFormat="1" applyFont="1" applyFill="1" applyBorder="1" applyAlignment="1">
      <alignment horizontal="center"/>
    </xf>
    <xf numFmtId="170" fontId="18" fillId="0" borderId="56" xfId="0" applyNumberFormat="1" applyFont="1" applyFill="1" applyBorder="1" applyAlignment="1">
      <alignment horizontal="center"/>
    </xf>
    <xf numFmtId="0" fontId="119" fillId="0" borderId="138" xfId="0" applyFont="1" applyBorder="1"/>
    <xf numFmtId="49" fontId="121" fillId="0" borderId="138" xfId="5" applyNumberFormat="1" applyFont="1" applyFill="1" applyBorder="1" applyAlignment="1" applyProtection="1">
      <alignment horizontal="right" vertical="center"/>
      <protection locked="0"/>
    </xf>
    <xf numFmtId="0" fontId="120" fillId="3" borderId="138" xfId="13" applyFont="1" applyFill="1" applyBorder="1" applyAlignment="1" applyProtection="1">
      <alignment horizontal="left" vertical="center" wrapText="1"/>
      <protection locked="0"/>
    </xf>
    <xf numFmtId="49" fontId="120" fillId="3" borderId="138" xfId="5" applyNumberFormat="1" applyFont="1" applyFill="1" applyBorder="1" applyAlignment="1" applyProtection="1">
      <alignment horizontal="right" vertical="center"/>
      <protection locked="0"/>
    </xf>
    <xf numFmtId="0" fontId="120" fillId="0" borderId="138" xfId="13" applyFont="1" applyFill="1" applyBorder="1" applyAlignment="1" applyProtection="1">
      <alignment horizontal="left" vertical="center" wrapText="1"/>
      <protection locked="0"/>
    </xf>
    <xf numFmtId="49" fontId="120" fillId="0" borderId="138" xfId="5" applyNumberFormat="1" applyFont="1" applyFill="1" applyBorder="1" applyAlignment="1" applyProtection="1">
      <alignment horizontal="right" vertical="center"/>
      <protection locked="0"/>
    </xf>
    <xf numFmtId="0" fontId="122" fillId="0" borderId="138" xfId="13" applyFont="1" applyFill="1" applyBorder="1" applyAlignment="1" applyProtection="1">
      <alignment horizontal="left" vertical="center" wrapText="1"/>
      <protection locked="0"/>
    </xf>
    <xf numFmtId="169" fontId="115" fillId="35" borderId="146" xfId="21413" applyFont="1" applyFill="1" applyBorder="1"/>
    <xf numFmtId="0" fontId="115" fillId="0" borderId="146" xfId="0" applyFont="1" applyBorder="1"/>
    <xf numFmtId="0" fontId="115" fillId="0" borderId="146" xfId="0" applyFont="1" applyFill="1" applyBorder="1"/>
    <xf numFmtId="0" fontId="115" fillId="0" borderId="146" xfId="0" applyFont="1" applyBorder="1" applyAlignment="1">
      <alignment horizontal="left" indent="8"/>
    </xf>
    <xf numFmtId="0" fontId="115" fillId="0" borderId="146" xfId="0" applyFont="1" applyBorder="1" applyAlignment="1">
      <alignment wrapText="1"/>
    </xf>
    <xf numFmtId="0" fontId="118" fillId="0" borderId="146" xfId="0" applyFont="1" applyBorder="1"/>
    <xf numFmtId="49" fontId="121" fillId="0" borderId="146" xfId="5" applyNumberFormat="1" applyFont="1" applyFill="1" applyBorder="1" applyAlignment="1" applyProtection="1">
      <alignment horizontal="right" vertical="center" wrapText="1"/>
      <protection locked="0"/>
    </xf>
    <xf numFmtId="49" fontId="120" fillId="3" borderId="146" xfId="5" applyNumberFormat="1" applyFont="1" applyFill="1" applyBorder="1" applyAlignment="1" applyProtection="1">
      <alignment horizontal="right" vertical="center" wrapText="1"/>
      <protection locked="0"/>
    </xf>
    <xf numFmtId="49" fontId="120" fillId="0" borderId="146" xfId="5" applyNumberFormat="1" applyFont="1" applyFill="1" applyBorder="1" applyAlignment="1" applyProtection="1">
      <alignment horizontal="right" vertical="center" wrapText="1"/>
      <protection locked="0"/>
    </xf>
    <xf numFmtId="0" fontId="115" fillId="0" borderId="146" xfId="0" applyFont="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146"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8" fillId="0" borderId="146" xfId="0" applyFont="1" applyFill="1" applyBorder="1"/>
    <xf numFmtId="0" fontId="115" fillId="0" borderId="146" xfId="0" applyNumberFormat="1" applyFont="1" applyFill="1" applyBorder="1" applyAlignment="1">
      <alignment horizontal="left" vertical="center" wrapText="1"/>
    </xf>
    <xf numFmtId="0" fontId="119" fillId="0" borderId="146" xfId="0" applyFont="1" applyBorder="1"/>
    <xf numFmtId="0" fontId="118" fillId="0" borderId="146" xfId="0" applyFont="1" applyFill="1" applyBorder="1" applyAlignment="1">
      <alignment horizontal="left" wrapText="1" indent="1"/>
    </xf>
    <xf numFmtId="0" fontId="118" fillId="0" borderId="146" xfId="0" applyFont="1" applyFill="1" applyBorder="1" applyAlignment="1">
      <alignment horizontal="left" vertical="center" indent="1"/>
    </xf>
    <xf numFmtId="0" fontId="116" fillId="0" borderId="146" xfId="0" applyFont="1" applyBorder="1"/>
    <xf numFmtId="0" fontId="115" fillId="0" borderId="146" xfId="0" applyFont="1" applyFill="1" applyBorder="1" applyAlignment="1">
      <alignment horizontal="left" wrapText="1" indent="1"/>
    </xf>
    <xf numFmtId="0" fontId="115" fillId="0" borderId="146" xfId="0" applyFont="1" applyFill="1" applyBorder="1" applyAlignment="1">
      <alignment horizontal="left" indent="1"/>
    </xf>
    <xf numFmtId="0" fontId="115" fillId="0" borderId="146" xfId="0" applyFont="1" applyFill="1" applyBorder="1" applyAlignment="1">
      <alignment horizontal="left" wrapText="1" indent="4"/>
    </xf>
    <xf numFmtId="0" fontId="115" fillId="0" borderId="146" xfId="0" applyNumberFormat="1" applyFont="1" applyFill="1" applyBorder="1" applyAlignment="1">
      <alignment horizontal="left" indent="3"/>
    </xf>
    <xf numFmtId="0" fontId="118" fillId="0" borderId="146" xfId="0" applyFont="1" applyFill="1" applyBorder="1" applyAlignment="1">
      <alignment horizontal="left" indent="1"/>
    </xf>
    <xf numFmtId="0" fontId="119" fillId="0" borderId="146" xfId="0" applyFont="1" applyFill="1" applyBorder="1" applyAlignment="1">
      <alignment horizontal="center" vertical="center" wrapText="1"/>
    </xf>
    <xf numFmtId="0" fontId="115" fillId="78" borderId="146" xfId="0" applyFont="1" applyFill="1" applyBorder="1"/>
    <xf numFmtId="0" fontId="118" fillId="0" borderId="7" xfId="0" applyFont="1" applyBorder="1"/>
    <xf numFmtId="0" fontId="115" fillId="0" borderId="146" xfId="0" applyFont="1" applyFill="1" applyBorder="1" applyAlignment="1">
      <alignment horizontal="left" wrapText="1" indent="2"/>
    </xf>
    <xf numFmtId="0" fontId="115" fillId="0" borderId="146" xfId="0" applyFont="1" applyFill="1" applyBorder="1" applyAlignment="1">
      <alignment horizontal="left" wrapText="1"/>
    </xf>
    <xf numFmtId="0" fontId="115" fillId="0" borderId="0" xfId="0" applyFont="1" applyBorder="1"/>
    <xf numFmtId="0" fontId="118" fillId="80" borderId="146" xfId="0" applyFont="1" applyFill="1" applyBorder="1"/>
    <xf numFmtId="0" fontId="115" fillId="0" borderId="146" xfId="0" applyFont="1" applyBorder="1" applyAlignment="1">
      <alignment horizontal="left" indent="1"/>
    </xf>
    <xf numFmtId="0" fontId="115" fillId="0" borderId="146" xfId="0" applyFont="1" applyBorder="1" applyAlignment="1">
      <alignment horizontal="center"/>
    </xf>
    <xf numFmtId="0" fontId="115" fillId="0" borderId="0" xfId="0" applyFont="1" applyBorder="1" applyAlignment="1">
      <alignment horizontal="center" vertical="center"/>
    </xf>
    <xf numFmtId="0" fontId="115" fillId="0" borderId="146" xfId="0" applyFont="1" applyFill="1" applyBorder="1" applyAlignment="1">
      <alignment horizontal="center" vertical="center" wrapText="1"/>
    </xf>
    <xf numFmtId="0" fontId="115" fillId="0" borderId="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51" xfId="0" applyFont="1" applyBorder="1" applyAlignment="1">
      <alignment wrapText="1"/>
    </xf>
    <xf numFmtId="0" fontId="115" fillId="0" borderId="7" xfId="0" applyFont="1" applyBorder="1" applyAlignment="1">
      <alignment wrapText="1"/>
    </xf>
    <xf numFmtId="0" fontId="115" fillId="0" borderId="0" xfId="0" applyFont="1" applyBorder="1" applyAlignment="1">
      <alignment horizontal="center" vertical="center" wrapText="1"/>
    </xf>
    <xf numFmtId="0" fontId="115" fillId="0" borderId="145"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148"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0" xfId="0" applyFont="1" applyFill="1"/>
    <xf numFmtId="0" fontId="115" fillId="0" borderId="152" xfId="0" applyFont="1" applyFill="1" applyBorder="1"/>
    <xf numFmtId="0" fontId="115" fillId="0" borderId="153" xfId="0" applyFont="1" applyFill="1" applyBorder="1"/>
    <xf numFmtId="49" fontId="115" fillId="0" borderId="152" xfId="0" applyNumberFormat="1" applyFont="1" applyFill="1" applyBorder="1" applyAlignment="1">
      <alignment horizontal="left" wrapText="1" indent="1"/>
    </xf>
    <xf numFmtId="0" fontId="115" fillId="0" borderId="154" xfId="0" applyNumberFormat="1" applyFont="1" applyFill="1" applyBorder="1" applyAlignment="1">
      <alignment horizontal="left" wrapText="1" indent="1"/>
    </xf>
    <xf numFmtId="0" fontId="115" fillId="0" borderId="155" xfId="0" applyFont="1" applyFill="1" applyBorder="1"/>
    <xf numFmtId="49" fontId="115" fillId="0" borderId="155" xfId="0" applyNumberFormat="1" applyFont="1" applyFill="1" applyBorder="1" applyAlignment="1">
      <alignment horizontal="left" wrapText="1" indent="1"/>
    </xf>
    <xf numFmtId="0" fontId="115" fillId="0" borderId="156" xfId="0" applyNumberFormat="1" applyFont="1" applyFill="1" applyBorder="1" applyAlignment="1">
      <alignment horizontal="left" wrapText="1" indent="1"/>
    </xf>
    <xf numFmtId="49" fontId="115" fillId="0" borderId="156" xfId="0" applyNumberFormat="1" applyFont="1" applyFill="1" applyBorder="1" applyAlignment="1">
      <alignment horizontal="left" wrapText="1" indent="3"/>
    </xf>
    <xf numFmtId="49" fontId="115" fillId="0" borderId="155" xfId="0" applyNumberFormat="1" applyFont="1" applyFill="1" applyBorder="1" applyAlignment="1">
      <alignment horizontal="left" wrapText="1" indent="3"/>
    </xf>
    <xf numFmtId="49" fontId="115" fillId="0" borderId="155" xfId="0" applyNumberFormat="1" applyFont="1" applyFill="1" applyBorder="1" applyAlignment="1">
      <alignment horizontal="left" wrapText="1" indent="2"/>
    </xf>
    <xf numFmtId="49" fontId="115" fillId="0" borderId="156" xfId="0" applyNumberFormat="1" applyFont="1" applyBorder="1" applyAlignment="1">
      <alignment horizontal="left" wrapText="1" indent="2"/>
    </xf>
    <xf numFmtId="49" fontId="115" fillId="0" borderId="155" xfId="0" applyNumberFormat="1" applyFont="1" applyFill="1" applyBorder="1" applyAlignment="1">
      <alignment horizontal="left" vertical="top" wrapText="1" indent="2"/>
    </xf>
    <xf numFmtId="0" fontId="115" fillId="79" borderId="155" xfId="0" applyFont="1" applyFill="1" applyBorder="1"/>
    <xf numFmtId="0" fontId="115" fillId="79" borderId="146" xfId="0" applyFont="1" applyFill="1" applyBorder="1"/>
    <xf numFmtId="49" fontId="115" fillId="0" borderId="155" xfId="0" applyNumberFormat="1" applyFont="1" applyFill="1" applyBorder="1" applyAlignment="1">
      <alignment horizontal="left" indent="1"/>
    </xf>
    <xf numFmtId="0" fontId="115" fillId="0" borderId="156" xfId="0" applyNumberFormat="1" applyFont="1" applyBorder="1" applyAlignment="1">
      <alignment horizontal="left" indent="1"/>
    </xf>
    <xf numFmtId="0" fontId="115" fillId="0" borderId="155" xfId="0" applyFont="1" applyBorder="1"/>
    <xf numFmtId="49" fontId="115" fillId="0" borderId="156" xfId="0" applyNumberFormat="1" applyFont="1" applyBorder="1" applyAlignment="1">
      <alignment horizontal="left" indent="1"/>
    </xf>
    <xf numFmtId="49" fontId="115" fillId="0" borderId="155" xfId="0" applyNumberFormat="1" applyFont="1" applyFill="1" applyBorder="1" applyAlignment="1">
      <alignment horizontal="left" indent="3"/>
    </xf>
    <xf numFmtId="49" fontId="115" fillId="0" borderId="156" xfId="0" applyNumberFormat="1" applyFont="1" applyBorder="1" applyAlignment="1">
      <alignment horizontal="left" indent="3"/>
    </xf>
    <xf numFmtId="0" fontId="115" fillId="0" borderId="156" xfId="0" applyFont="1" applyBorder="1" applyAlignment="1">
      <alignment horizontal="left" indent="2"/>
    </xf>
    <xf numFmtId="0" fontId="115" fillId="0" borderId="155" xfId="0" applyFont="1" applyBorder="1" applyAlignment="1">
      <alignment horizontal="left" indent="2"/>
    </xf>
    <xf numFmtId="0" fontId="115" fillId="0" borderId="156" xfId="0" applyFont="1" applyBorder="1" applyAlignment="1">
      <alignment horizontal="left" indent="1"/>
    </xf>
    <xf numFmtId="0" fontId="115" fillId="0" borderId="155" xfId="0" applyFont="1" applyBorder="1" applyAlignment="1">
      <alignment horizontal="left" indent="1"/>
    </xf>
    <xf numFmtId="0" fontId="118" fillId="0" borderId="62" xfId="0" applyFont="1" applyBorder="1"/>
    <xf numFmtId="0" fontId="115" fillId="0" borderId="67" xfId="0" applyFont="1" applyBorder="1"/>
    <xf numFmtId="0" fontId="115" fillId="0" borderId="0" xfId="0" applyFont="1" applyBorder="1" applyAlignment="1">
      <alignment wrapText="1"/>
    </xf>
    <xf numFmtId="0" fontId="115" fillId="0" borderId="0" xfId="0" applyFont="1" applyAlignment="1">
      <alignment horizontal="center" vertical="center"/>
    </xf>
    <xf numFmtId="0" fontId="115" fillId="0" borderId="0" xfId="0" applyFont="1" applyBorder="1" applyAlignment="1">
      <alignment horizontal="left"/>
    </xf>
    <xf numFmtId="0" fontId="118" fillId="0" borderId="146" xfId="0" applyNumberFormat="1" applyFont="1" applyFill="1" applyBorder="1" applyAlignment="1">
      <alignment horizontal="left" vertical="center" wrapText="1"/>
    </xf>
    <xf numFmtId="0" fontId="115" fillId="0" borderId="7" xfId="0" applyFont="1" applyFill="1" applyBorder="1" applyAlignment="1">
      <alignment horizontal="center" vertical="center" wrapText="1"/>
    </xf>
    <xf numFmtId="0" fontId="9" fillId="0" borderId="0" xfId="0" applyFont="1" applyFill="1" applyBorder="1" applyAlignment="1">
      <alignment wrapText="1"/>
    </xf>
    <xf numFmtId="0" fontId="120" fillId="0" borderId="146" xfId="0" applyFont="1" applyBorder="1"/>
    <xf numFmtId="0" fontId="118" fillId="0" borderId="146"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33" xfId="0" applyNumberFormat="1" applyFont="1" applyFill="1" applyBorder="1" applyAlignment="1">
      <alignment horizontal="left" vertical="center" wrapText="1" indent="1" readingOrder="1"/>
    </xf>
    <xf numFmtId="0" fontId="120" fillId="0" borderId="146" xfId="0" applyFont="1" applyBorder="1" applyAlignment="1">
      <alignment horizontal="left" indent="3"/>
    </xf>
    <xf numFmtId="0" fontId="118" fillId="0" borderId="146" xfId="0" applyNumberFormat="1" applyFont="1" applyFill="1" applyBorder="1" applyAlignment="1">
      <alignment vertical="center" wrapText="1" readingOrder="1"/>
    </xf>
    <xf numFmtId="0" fontId="120" fillId="0" borderId="146" xfId="0" applyFont="1" applyFill="1" applyBorder="1" applyAlignment="1">
      <alignment horizontal="left" indent="2"/>
    </xf>
    <xf numFmtId="0" fontId="115" fillId="0" borderId="134" xfId="0" applyNumberFormat="1" applyFont="1" applyFill="1" applyBorder="1" applyAlignment="1">
      <alignment vertical="center" wrapText="1" readingOrder="1"/>
    </xf>
    <xf numFmtId="0" fontId="120" fillId="0" borderId="147" xfId="0" applyFont="1" applyBorder="1" applyAlignment="1">
      <alignment horizontal="left" indent="2"/>
    </xf>
    <xf numFmtId="0" fontId="115" fillId="0" borderId="133" xfId="0" applyNumberFormat="1" applyFont="1" applyFill="1" applyBorder="1" applyAlignment="1">
      <alignment vertical="center" wrapText="1" readingOrder="1"/>
    </xf>
    <xf numFmtId="0" fontId="120" fillId="0" borderId="146" xfId="0" applyFont="1" applyBorder="1" applyAlignment="1">
      <alignment horizontal="left" indent="2"/>
    </xf>
    <xf numFmtId="0" fontId="115" fillId="0" borderId="132" xfId="0" applyNumberFormat="1" applyFont="1" applyFill="1" applyBorder="1" applyAlignment="1">
      <alignment vertical="center" wrapText="1" readingOrder="1"/>
    </xf>
    <xf numFmtId="0" fontId="138" fillId="0" borderId="7" xfId="0" applyFont="1" applyBorder="1"/>
    <xf numFmtId="0" fontId="105" fillId="0" borderId="146" xfId="0" applyFont="1" applyFill="1" applyBorder="1" applyAlignment="1">
      <alignment vertical="center" wrapText="1"/>
    </xf>
    <xf numFmtId="0" fontId="105" fillId="0" borderId="146" xfId="0" applyFont="1" applyBorder="1" applyAlignment="1">
      <alignment horizontal="left" vertical="center" wrapText="1"/>
    </xf>
    <xf numFmtId="0" fontId="105" fillId="0" borderId="146" xfId="0" applyFont="1" applyBorder="1" applyAlignment="1">
      <alignment horizontal="left" indent="2"/>
    </xf>
    <xf numFmtId="0" fontId="105" fillId="0" borderId="146" xfId="0" applyNumberFormat="1" applyFont="1" applyFill="1" applyBorder="1" applyAlignment="1">
      <alignment vertical="center" wrapText="1"/>
    </xf>
    <xf numFmtId="0" fontId="105" fillId="0" borderId="146" xfId="0" applyNumberFormat="1" applyFont="1" applyFill="1" applyBorder="1" applyAlignment="1">
      <alignment horizontal="left" vertical="center" indent="1"/>
    </xf>
    <xf numFmtId="0" fontId="105" fillId="0" borderId="146" xfId="0" applyNumberFormat="1" applyFont="1" applyFill="1" applyBorder="1" applyAlignment="1">
      <alignment horizontal="left" vertical="center" wrapText="1" indent="1"/>
    </xf>
    <xf numFmtId="0" fontId="105" fillId="0" borderId="146" xfId="0" applyNumberFormat="1" applyFont="1" applyFill="1" applyBorder="1" applyAlignment="1">
      <alignment horizontal="right" vertical="center"/>
    </xf>
    <xf numFmtId="49" fontId="105" fillId="0" borderId="146" xfId="0" applyNumberFormat="1" applyFont="1" applyFill="1" applyBorder="1" applyAlignment="1">
      <alignment horizontal="right" vertical="center"/>
    </xf>
    <xf numFmtId="49" fontId="105" fillId="0" borderId="146" xfId="0" applyNumberFormat="1" applyFont="1" applyFill="1" applyBorder="1" applyAlignment="1">
      <alignment vertical="top" wrapText="1"/>
    </xf>
    <xf numFmtId="49" fontId="105" fillId="0" borderId="146" xfId="0" applyNumberFormat="1" applyFont="1" applyFill="1" applyBorder="1" applyAlignment="1">
      <alignment horizontal="left" vertical="top" wrapText="1" indent="2"/>
    </xf>
    <xf numFmtId="49" fontId="105" fillId="0" borderId="146" xfId="0" applyNumberFormat="1" applyFont="1" applyFill="1" applyBorder="1" applyAlignment="1">
      <alignment horizontal="left" vertical="center" wrapText="1" indent="3"/>
    </xf>
    <xf numFmtId="49" fontId="105" fillId="0" borderId="146" xfId="0" applyNumberFormat="1" applyFont="1" applyFill="1" applyBorder="1" applyAlignment="1">
      <alignment horizontal="left" wrapText="1" indent="2"/>
    </xf>
    <xf numFmtId="49" fontId="105" fillId="0" borderId="146" xfId="0" applyNumberFormat="1" applyFont="1" applyFill="1" applyBorder="1" applyAlignment="1">
      <alignment horizontal="left" vertical="top" wrapText="1"/>
    </xf>
    <xf numFmtId="49" fontId="105" fillId="0" borderId="146" xfId="0" applyNumberFormat="1" applyFont="1" applyFill="1" applyBorder="1" applyAlignment="1">
      <alignment horizontal="left" wrapText="1" indent="3"/>
    </xf>
    <xf numFmtId="49" fontId="105" fillId="0" borderId="146" xfId="0" applyNumberFormat="1" applyFont="1" applyFill="1" applyBorder="1" applyAlignment="1">
      <alignment vertical="center"/>
    </xf>
    <xf numFmtId="0" fontId="105" fillId="0" borderId="146" xfId="0" applyFont="1" applyFill="1" applyBorder="1" applyAlignment="1">
      <alignment horizontal="left" vertical="center" wrapText="1"/>
    </xf>
    <xf numFmtId="49" fontId="105" fillId="0" borderId="146" xfId="0" applyNumberFormat="1" applyFont="1" applyFill="1" applyBorder="1" applyAlignment="1">
      <alignment horizontal="left" indent="3"/>
    </xf>
    <xf numFmtId="0" fontId="105" fillId="0" borderId="146" xfId="0" applyFont="1" applyBorder="1" applyAlignment="1">
      <alignment horizontal="left" indent="1"/>
    </xf>
    <xf numFmtId="0" fontId="105" fillId="0" borderId="146" xfId="0" applyNumberFormat="1" applyFont="1" applyFill="1" applyBorder="1" applyAlignment="1">
      <alignment horizontal="left" vertical="center" wrapText="1"/>
    </xf>
    <xf numFmtId="0" fontId="105" fillId="0" borderId="146" xfId="0" applyFont="1" applyFill="1" applyBorder="1" applyAlignment="1">
      <alignment horizontal="left" wrapText="1" indent="2"/>
    </xf>
    <xf numFmtId="0" fontId="105" fillId="0" borderId="146" xfId="0" applyFont="1" applyBorder="1" applyAlignment="1">
      <alignment horizontal="left" vertical="top" wrapText="1"/>
    </xf>
    <xf numFmtId="0" fontId="104" fillId="0" borderId="7" xfId="0" applyFont="1" applyBorder="1" applyAlignment="1">
      <alignment wrapText="1"/>
    </xf>
    <xf numFmtId="0" fontId="105" fillId="0" borderId="146" xfId="0" applyFont="1" applyBorder="1" applyAlignment="1">
      <alignment horizontal="left" vertical="top" wrapText="1" indent="2"/>
    </xf>
    <xf numFmtId="0" fontId="105" fillId="0" borderId="146" xfId="0" applyFont="1" applyBorder="1" applyAlignment="1">
      <alignment horizontal="left" wrapText="1"/>
    </xf>
    <xf numFmtId="0" fontId="105" fillId="0" borderId="146" xfId="12672" applyFont="1" applyFill="1" applyBorder="1" applyAlignment="1">
      <alignment horizontal="left" vertical="center" wrapText="1" indent="2"/>
    </xf>
    <xf numFmtId="0" fontId="105" fillId="0" borderId="146" xfId="0" applyFont="1" applyBorder="1" applyAlignment="1">
      <alignment horizontal="left" wrapText="1" indent="2"/>
    </xf>
    <xf numFmtId="0" fontId="105" fillId="0" borderId="146" xfId="0" applyFont="1" applyBorder="1" applyAlignment="1">
      <alignment wrapText="1"/>
    </xf>
    <xf numFmtId="0" fontId="105" fillId="0" borderId="146" xfId="0" applyFont="1" applyBorder="1"/>
    <xf numFmtId="0" fontId="105" fillId="0" borderId="146" xfId="12672" applyFont="1" applyFill="1" applyBorder="1" applyAlignment="1">
      <alignment horizontal="left" vertical="center" wrapText="1"/>
    </xf>
    <xf numFmtId="0" fontId="104" fillId="0" borderId="146" xfId="0" applyFont="1" applyBorder="1" applyAlignment="1">
      <alignment wrapText="1"/>
    </xf>
    <xf numFmtId="0" fontId="105" fillId="0" borderId="148" xfId="0" applyNumberFormat="1" applyFont="1" applyFill="1" applyBorder="1" applyAlignment="1">
      <alignment horizontal="left" vertical="center" wrapText="1"/>
    </xf>
    <xf numFmtId="0" fontId="105" fillId="3" borderId="146" xfId="5" applyNumberFormat="1" applyFont="1" applyFill="1" applyBorder="1" applyAlignment="1" applyProtection="1">
      <alignment horizontal="right" vertical="center"/>
      <protection locked="0"/>
    </xf>
    <xf numFmtId="2" fontId="105" fillId="3" borderId="146" xfId="5" applyNumberFormat="1" applyFont="1" applyFill="1" applyBorder="1" applyAlignment="1" applyProtection="1">
      <alignment horizontal="right" vertical="center"/>
      <protection locked="0"/>
    </xf>
    <xf numFmtId="0" fontId="105" fillId="0" borderId="146" xfId="0" applyNumberFormat="1" applyFont="1" applyFill="1" applyBorder="1" applyAlignment="1">
      <alignment vertical="center"/>
    </xf>
    <xf numFmtId="0" fontId="105" fillId="0" borderId="148" xfId="13" applyFont="1" applyFill="1" applyBorder="1" applyAlignment="1" applyProtection="1">
      <alignment horizontal="left" vertical="top" wrapText="1"/>
      <protection locked="0"/>
    </xf>
    <xf numFmtId="0" fontId="105" fillId="0" borderId="149" xfId="13" applyFont="1" applyFill="1" applyBorder="1" applyAlignment="1" applyProtection="1">
      <alignment horizontal="left" vertical="top" wrapText="1"/>
      <protection locked="0"/>
    </xf>
    <xf numFmtId="0" fontId="105" fillId="0" borderId="147" xfId="0" applyFont="1" applyFill="1" applyBorder="1" applyAlignment="1">
      <alignment vertical="center" wrapText="1"/>
    </xf>
    <xf numFmtId="0" fontId="124" fillId="0" borderId="0" xfId="0" applyFont="1" applyBorder="1" applyAlignment="1">
      <alignment horizontal="left" indent="2"/>
    </xf>
    <xf numFmtId="0" fontId="115" fillId="0" borderId="0" xfId="0" applyNumberFormat="1" applyFont="1" applyFill="1" applyBorder="1" applyAlignment="1">
      <alignment horizontal="left" vertical="center" indent="1"/>
    </xf>
    <xf numFmtId="0" fontId="115" fillId="0" borderId="0" xfId="0" applyNumberFormat="1" applyFont="1" applyFill="1" applyBorder="1" applyAlignment="1">
      <alignment vertical="center" wrapText="1"/>
    </xf>
    <xf numFmtId="0" fontId="115" fillId="0" borderId="0" xfId="0" applyFont="1" applyFill="1" applyBorder="1" applyAlignment="1">
      <alignment vertical="center" wrapText="1"/>
    </xf>
    <xf numFmtId="0" fontId="126" fillId="0" borderId="0" xfId="0" applyNumberFormat="1" applyFont="1" applyFill="1" applyBorder="1" applyAlignment="1">
      <alignment horizontal="left" vertical="center" wrapText="1" readingOrder="1"/>
    </xf>
    <xf numFmtId="0" fontId="124" fillId="0" borderId="0" xfId="0" applyFont="1" applyBorder="1" applyAlignment="1">
      <alignment horizontal="left" vertical="center" wrapText="1"/>
    </xf>
    <xf numFmtId="0" fontId="115" fillId="0" borderId="0" xfId="0" applyFont="1" applyFill="1" applyBorder="1" applyAlignment="1">
      <alignment horizontal="left" vertical="center" wrapText="1"/>
    </xf>
    <xf numFmtId="0" fontId="105" fillId="0" borderId="147" xfId="0" applyFont="1" applyBorder="1" applyAlignment="1">
      <alignment horizontal="left" indent="2"/>
    </xf>
    <xf numFmtId="0" fontId="105" fillId="0" borderId="134" xfId="0" applyNumberFormat="1" applyFont="1" applyFill="1" applyBorder="1" applyAlignment="1">
      <alignment horizontal="left" vertical="center" wrapText="1" readingOrder="1"/>
    </xf>
    <xf numFmtId="0" fontId="105" fillId="0" borderId="146" xfId="0" applyNumberFormat="1" applyFont="1" applyFill="1" applyBorder="1" applyAlignment="1">
      <alignment horizontal="left" vertical="center" wrapText="1" readingOrder="1"/>
    </xf>
    <xf numFmtId="170" fontId="19" fillId="81" borderId="55" xfId="0" applyNumberFormat="1" applyFont="1" applyFill="1" applyBorder="1" applyAlignment="1">
      <alignment horizontal="center"/>
    </xf>
    <xf numFmtId="0" fontId="11" fillId="0" borderId="97" xfId="17" applyFill="1" applyBorder="1" applyAlignment="1" applyProtection="1">
      <alignment horizontal="left" vertical="top" wrapText="1"/>
    </xf>
    <xf numFmtId="0" fontId="105" fillId="0" borderId="0" xfId="0" applyFont="1" applyFill="1" applyBorder="1" applyAlignment="1">
      <alignment wrapText="1"/>
    </xf>
    <xf numFmtId="0" fontId="141" fillId="0" borderId="0" xfId="0" applyFont="1"/>
    <xf numFmtId="0" fontId="142" fillId="0" borderId="0" xfId="0" applyFont="1" applyFill="1" applyAlignment="1">
      <alignment vertical="top"/>
    </xf>
    <xf numFmtId="0" fontId="142" fillId="0" borderId="0" xfId="0" applyFont="1" applyFill="1" applyAlignment="1">
      <alignment vertical="top" wrapText="1"/>
    </xf>
    <xf numFmtId="0" fontId="149"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8" fillId="0" borderId="0" xfId="11" applyFont="1" applyFill="1" applyBorder="1" applyAlignment="1" applyProtection="1"/>
    <xf numFmtId="0" fontId="143" fillId="82" borderId="146" xfId="0" applyFont="1" applyFill="1" applyBorder="1" applyAlignment="1">
      <alignment horizontal="left" vertical="center"/>
    </xf>
    <xf numFmtId="49" fontId="144" fillId="0" borderId="146" xfId="0" applyNumberFormat="1" applyFont="1" applyFill="1" applyBorder="1" applyAlignment="1">
      <alignment horizontal="left" vertical="center"/>
    </xf>
    <xf numFmtId="0" fontId="144" fillId="0" borderId="146" xfId="0" applyFont="1" applyFill="1" applyBorder="1" applyAlignment="1">
      <alignment horizontal="left" vertical="center"/>
    </xf>
    <xf numFmtId="0" fontId="143" fillId="0" borderId="146" xfId="0" applyFont="1" applyFill="1" applyBorder="1" applyAlignment="1">
      <alignment horizontal="left" vertical="center"/>
    </xf>
    <xf numFmtId="0" fontId="143" fillId="83" borderId="16" xfId="0" applyFont="1" applyFill="1" applyBorder="1" applyAlignment="1">
      <alignment horizontal="center" vertical="center"/>
    </xf>
    <xf numFmtId="0" fontId="143" fillId="83" borderId="17" xfId="0" applyFont="1" applyFill="1" applyBorder="1" applyAlignment="1">
      <alignment horizontal="center" vertical="center"/>
    </xf>
    <xf numFmtId="197" fontId="143" fillId="82" borderId="155" xfId="7" applyNumberFormat="1" applyFont="1" applyFill="1" applyBorder="1" applyAlignment="1">
      <alignment horizontal="left" vertical="center"/>
    </xf>
    <xf numFmtId="197" fontId="144" fillId="0" borderId="155" xfId="7" applyNumberFormat="1" applyFont="1" applyFill="1" applyBorder="1" applyAlignment="1">
      <alignment horizontal="left" vertical="center"/>
    </xf>
    <xf numFmtId="10" fontId="7" fillId="0" borderId="155" xfId="0" applyNumberFormat="1" applyFont="1" applyFill="1" applyBorder="1" applyAlignment="1">
      <alignment horizontal="right" vertical="center" wrapText="1"/>
    </xf>
    <xf numFmtId="0" fontId="147" fillId="84" borderId="153" xfId="0" applyFont="1" applyFill="1" applyBorder="1" applyAlignment="1">
      <alignment horizontal="left" vertical="center"/>
    </xf>
    <xf numFmtId="10" fontId="148" fillId="86" borderId="152" xfId="0" applyNumberFormat="1" applyFont="1" applyFill="1" applyBorder="1" applyAlignment="1">
      <alignment horizontal="right" vertical="center" wrapText="1"/>
    </xf>
    <xf numFmtId="0" fontId="0" fillId="0" borderId="1" xfId="0" applyBorder="1"/>
    <xf numFmtId="0" fontId="4" fillId="85" borderId="146" xfId="0" applyFont="1" applyFill="1" applyBorder="1" applyAlignment="1" applyProtection="1">
      <alignment horizontal="center" vertical="center" wrapText="1"/>
    </xf>
    <xf numFmtId="0" fontId="6" fillId="86" borderId="146" xfId="0" applyFont="1" applyFill="1" applyBorder="1" applyAlignment="1" applyProtection="1">
      <alignment vertical="center" wrapText="1"/>
    </xf>
    <xf numFmtId="197" fontId="6" fillId="86" borderId="146" xfId="7" applyNumberFormat="1" applyFont="1" applyFill="1" applyBorder="1" applyAlignment="1">
      <alignment vertical="center"/>
    </xf>
    <xf numFmtId="197" fontId="6" fillId="86" borderId="155" xfId="7" applyNumberFormat="1" applyFont="1" applyFill="1" applyBorder="1" applyAlignment="1">
      <alignment vertical="center"/>
    </xf>
    <xf numFmtId="0" fontId="144" fillId="82" borderId="146" xfId="0" applyFont="1" applyFill="1" applyBorder="1" applyAlignment="1">
      <alignment horizontal="left" vertical="center" wrapText="1" indent="3"/>
    </xf>
    <xf numFmtId="197" fontId="6" fillId="35" borderId="146" xfId="7" applyNumberFormat="1" applyFont="1" applyFill="1" applyBorder="1" applyAlignment="1">
      <alignment vertical="center"/>
    </xf>
    <xf numFmtId="0" fontId="151" fillId="82" borderId="146" xfId="0" applyFont="1" applyFill="1" applyBorder="1" applyAlignment="1">
      <alignment horizontal="left" vertical="center" wrapText="1" indent="5"/>
    </xf>
    <xf numFmtId="0" fontId="152" fillId="83" borderId="146" xfId="0" applyFont="1" applyFill="1" applyBorder="1" applyAlignment="1" applyProtection="1">
      <alignment horizontal="left" vertical="center" wrapText="1" indent="1"/>
    </xf>
    <xf numFmtId="197" fontId="152" fillId="83" borderId="146" xfId="7" applyNumberFormat="1" applyFont="1" applyFill="1" applyBorder="1" applyAlignment="1">
      <alignment vertical="center"/>
    </xf>
    <xf numFmtId="197" fontId="152" fillId="84" borderId="155" xfId="7" applyNumberFormat="1" applyFont="1" applyFill="1" applyBorder="1" applyAlignment="1">
      <alignment vertical="center"/>
    </xf>
    <xf numFmtId="197" fontId="153" fillId="82" borderId="146" xfId="7" applyNumberFormat="1" applyFont="1" applyFill="1" applyBorder="1" applyAlignment="1">
      <alignment vertical="center"/>
    </xf>
    <xf numFmtId="197" fontId="153" fillId="84" borderId="155" xfId="7" applyNumberFormat="1" applyFont="1" applyFill="1" applyBorder="1" applyAlignment="1">
      <alignment vertical="center"/>
    </xf>
    <xf numFmtId="0" fontId="151" fillId="82" borderId="153" xfId="0" applyFont="1" applyFill="1" applyBorder="1" applyAlignment="1">
      <alignment horizontal="left" vertical="center" wrapText="1" indent="5"/>
    </xf>
    <xf numFmtId="197" fontId="153" fillId="82" borderId="153" xfId="7" applyNumberFormat="1" applyFont="1" applyFill="1" applyBorder="1" applyAlignment="1">
      <alignment vertical="center"/>
    </xf>
    <xf numFmtId="197" fontId="153" fillId="84" borderId="152" xfId="7" applyNumberFormat="1" applyFont="1" applyFill="1" applyBorder="1" applyAlignment="1">
      <alignment vertical="center"/>
    </xf>
    <xf numFmtId="0" fontId="7" fillId="0" borderId="146"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4" fillId="0" borderId="97" xfId="0" applyNumberFormat="1" applyFont="1" applyFill="1" applyBorder="1" applyAlignment="1">
      <alignment horizontal="right" vertical="center"/>
    </xf>
    <xf numFmtId="0" fontId="154" fillId="0" borderId="146" xfId="12672" applyFont="1" applyFill="1" applyBorder="1" applyAlignment="1">
      <alignment horizontal="left" vertical="center" wrapText="1"/>
    </xf>
    <xf numFmtId="0" fontId="154" fillId="0" borderId="147" xfId="0" applyNumberFormat="1" applyFont="1" applyFill="1" applyBorder="1" applyAlignment="1">
      <alignment horizontal="left" vertical="top" wrapText="1"/>
    </xf>
    <xf numFmtId="0" fontId="154" fillId="0" borderId="146" xfId="0" applyFont="1" applyFill="1" applyBorder="1" applyAlignment="1">
      <alignment vertical="center" wrapText="1"/>
    </xf>
    <xf numFmtId="0" fontId="131" fillId="0" borderId="146" xfId="21414" applyFont="1" applyFill="1" applyBorder="1" applyAlignment="1">
      <alignment horizontal="left" vertical="center" wrapText="1"/>
    </xf>
    <xf numFmtId="196" fontId="9" fillId="0" borderId="146" xfId="0" applyNumberFormat="1" applyFont="1" applyFill="1" applyBorder="1" applyAlignment="1" applyProtection="1">
      <alignment horizontal="right"/>
    </xf>
    <xf numFmtId="0" fontId="4" fillId="0" borderId="146" xfId="0" applyFont="1" applyFill="1" applyBorder="1"/>
    <xf numFmtId="0" fontId="11" fillId="0" borderId="146" xfId="17" applyFill="1" applyBorder="1" applyAlignment="1" applyProtection="1"/>
    <xf numFmtId="0" fontId="138" fillId="3" borderId="146" xfId="5" applyFont="1" applyFill="1" applyBorder="1" applyProtection="1">
      <protection locked="0"/>
    </xf>
    <xf numFmtId="0" fontId="138" fillId="0" borderId="146" xfId="21416" applyFont="1" applyFill="1" applyBorder="1" applyAlignment="1" applyProtection="1">
      <alignment horizontal="center" vertical="top" wrapText="1"/>
      <protection locked="0"/>
    </xf>
    <xf numFmtId="0" fontId="155" fillId="3" borderId="146" xfId="21416" applyFont="1" applyFill="1" applyBorder="1" applyAlignment="1" applyProtection="1">
      <alignment wrapText="1"/>
      <protection locked="0"/>
    </xf>
    <xf numFmtId="3" fontId="138" fillId="80" borderId="146" xfId="5" applyNumberFormat="1" applyFont="1" applyFill="1" applyBorder="1" applyAlignment="1" applyProtection="1"/>
    <xf numFmtId="0" fontId="136" fillId="3" borderId="146" xfId="21416" applyFont="1" applyFill="1" applyBorder="1" applyAlignment="1" applyProtection="1">
      <alignment horizontal="right" wrapText="1"/>
      <protection locked="0"/>
    </xf>
    <xf numFmtId="3" fontId="138" fillId="0" borderId="146" xfId="5" applyNumberFormat="1" applyFont="1" applyFill="1" applyBorder="1" applyProtection="1"/>
    <xf numFmtId="0" fontId="156" fillId="0" borderId="0" xfId="21415" applyFont="1" applyFill="1" applyAlignment="1" applyProtection="1">
      <alignment vertical="center"/>
      <protection locked="0"/>
    </xf>
    <xf numFmtId="0" fontId="111" fillId="76" borderId="149" xfId="21412" applyFont="1" applyFill="1" applyBorder="1" applyAlignment="1" applyProtection="1">
      <alignment vertical="center" wrapText="1"/>
      <protection locked="0"/>
    </xf>
    <xf numFmtId="0" fontId="62" fillId="76" borderId="148" xfId="21412" applyFont="1" applyFill="1" applyBorder="1" applyAlignment="1" applyProtection="1">
      <alignment vertical="center"/>
      <protection locked="0"/>
    </xf>
    <xf numFmtId="0" fontId="112" fillId="69" borderId="147" xfId="21412" applyFont="1" applyFill="1" applyBorder="1" applyAlignment="1" applyProtection="1">
      <alignment horizontal="center" vertical="center"/>
      <protection locked="0"/>
    </xf>
    <xf numFmtId="0" fontId="112" fillId="0" borderId="148" xfId="21412" applyFont="1" applyFill="1" applyBorder="1" applyAlignment="1" applyProtection="1">
      <alignment horizontal="left" vertical="center" wrapText="1"/>
      <protection locked="0"/>
    </xf>
    <xf numFmtId="167" fontId="112" fillId="0" borderId="146" xfId="948" applyNumberFormat="1" applyFont="1" applyFill="1" applyBorder="1" applyAlignment="1" applyProtection="1">
      <alignment horizontal="right" vertical="center"/>
      <protection locked="0"/>
    </xf>
    <xf numFmtId="0" fontId="111" fillId="77" borderId="146" xfId="21412" applyFont="1" applyFill="1" applyBorder="1" applyAlignment="1" applyProtection="1">
      <alignment horizontal="center" vertical="center"/>
      <protection locked="0"/>
    </xf>
    <xf numFmtId="0" fontId="111" fillId="77" borderId="148" xfId="21412" applyFont="1" applyFill="1" applyBorder="1" applyAlignment="1" applyProtection="1">
      <alignment vertical="top" wrapText="1"/>
      <protection locked="0"/>
    </xf>
    <xf numFmtId="167" fontId="112" fillId="77" borderId="146" xfId="948" applyNumberFormat="1" applyFont="1" applyFill="1" applyBorder="1" applyAlignment="1" applyProtection="1">
      <alignment horizontal="right" vertical="center"/>
    </xf>
    <xf numFmtId="0" fontId="111" fillId="76" borderId="149" xfId="21412" applyFont="1" applyFill="1" applyBorder="1" applyAlignment="1" applyProtection="1">
      <alignment vertical="center"/>
      <protection locked="0"/>
    </xf>
    <xf numFmtId="167" fontId="62" fillId="76" borderId="148" xfId="948" applyNumberFormat="1" applyFont="1" applyFill="1" applyBorder="1" applyAlignment="1" applyProtection="1">
      <alignment horizontal="right" vertical="center"/>
      <protection locked="0"/>
    </xf>
    <xf numFmtId="0" fontId="113" fillId="69" borderId="147" xfId="21412" applyFont="1" applyFill="1" applyBorder="1" applyAlignment="1" applyProtection="1">
      <alignment horizontal="center" vertical="center"/>
      <protection locked="0"/>
    </xf>
    <xf numFmtId="0" fontId="112" fillId="69" borderId="146" xfId="21412" applyFont="1" applyFill="1" applyBorder="1" applyAlignment="1" applyProtection="1">
      <alignment vertical="center" wrapText="1"/>
      <protection locked="0"/>
    </xf>
    <xf numFmtId="0" fontId="112" fillId="69" borderId="146" xfId="21412" applyFont="1" applyFill="1" applyBorder="1" applyAlignment="1" applyProtection="1">
      <alignment horizontal="left" vertical="center" wrapText="1"/>
      <protection locked="0"/>
    </xf>
    <xf numFmtId="0" fontId="112" fillId="0" borderId="146" xfId="21412" applyFont="1" applyFill="1" applyBorder="1" applyAlignment="1" applyProtection="1">
      <alignment horizontal="left" vertical="center" wrapText="1"/>
      <protection locked="0"/>
    </xf>
    <xf numFmtId="0" fontId="113" fillId="3" borderId="147" xfId="21412" applyFont="1" applyFill="1" applyBorder="1" applyAlignment="1" applyProtection="1">
      <alignment horizontal="center" vertical="center"/>
      <protection locked="0"/>
    </xf>
    <xf numFmtId="0" fontId="112" fillId="0" borderId="146" xfId="21412" applyFont="1" applyFill="1" applyBorder="1" applyAlignment="1" applyProtection="1">
      <alignment vertical="center" wrapText="1"/>
      <protection locked="0"/>
    </xf>
    <xf numFmtId="0" fontId="114" fillId="77" borderId="146" xfId="21412" applyFont="1" applyFill="1" applyBorder="1" applyAlignment="1" applyProtection="1">
      <alignment horizontal="center" vertical="center"/>
      <protection locked="0"/>
    </xf>
    <xf numFmtId="0" fontId="111" fillId="77" borderId="148" xfId="21412" applyFont="1" applyFill="1" applyBorder="1" applyAlignment="1" applyProtection="1">
      <alignment vertical="center" wrapText="1"/>
      <protection locked="0"/>
    </xf>
    <xf numFmtId="167" fontId="111" fillId="76" borderId="148" xfId="948" applyNumberFormat="1" applyFont="1" applyFill="1" applyBorder="1" applyAlignment="1" applyProtection="1">
      <alignment horizontal="right" vertical="center"/>
      <protection locked="0"/>
    </xf>
    <xf numFmtId="0" fontId="112" fillId="69" borderId="148" xfId="21412" applyFont="1" applyFill="1" applyBorder="1" applyAlignment="1" applyProtection="1">
      <alignment vertical="center" wrapText="1"/>
      <protection locked="0"/>
    </xf>
    <xf numFmtId="0" fontId="62" fillId="76" borderId="149" xfId="21412" applyFont="1" applyFill="1" applyBorder="1" applyAlignment="1" applyProtection="1">
      <alignment vertical="center"/>
      <protection locked="0"/>
    </xf>
    <xf numFmtId="167" fontId="112" fillId="3" borderId="146" xfId="948" applyNumberFormat="1" applyFont="1" applyFill="1" applyBorder="1" applyAlignment="1" applyProtection="1">
      <alignment horizontal="right" vertical="center"/>
      <protection locked="0"/>
    </xf>
    <xf numFmtId="0" fontId="113" fillId="3" borderId="146" xfId="21412" applyFont="1" applyFill="1" applyBorder="1" applyAlignment="1" applyProtection="1">
      <alignment horizontal="center" vertical="center"/>
      <protection locked="0"/>
    </xf>
    <xf numFmtId="0" fontId="112" fillId="69" borderId="148" xfId="21412" applyFont="1" applyFill="1" applyBorder="1" applyAlignment="1" applyProtection="1">
      <alignment horizontal="left" vertical="center" wrapText="1"/>
      <protection locked="0"/>
    </xf>
    <xf numFmtId="0" fontId="7" fillId="0" borderId="0" xfId="0" applyFont="1" applyFill="1"/>
    <xf numFmtId="0" fontId="155" fillId="3" borderId="0" xfId="21415" applyFont="1" applyFill="1" applyAlignment="1" applyProtection="1">
      <alignment vertical="center"/>
      <protection locked="0"/>
    </xf>
    <xf numFmtId="0" fontId="138" fillId="3" borderId="146" xfId="5" applyFont="1" applyFill="1" applyBorder="1" applyAlignment="1" applyProtection="1">
      <alignment vertical="center" wrapText="1"/>
      <protection locked="0"/>
    </xf>
    <xf numFmtId="0" fontId="138" fillId="0" borderId="146" xfId="21416" applyFont="1" applyFill="1" applyBorder="1" applyAlignment="1" applyProtection="1">
      <alignment horizontal="center" vertical="center" wrapText="1"/>
      <protection locked="0"/>
    </xf>
    <xf numFmtId="3" fontId="138" fillId="3" borderId="146" xfId="1" applyNumberFormat="1" applyFont="1" applyFill="1" applyBorder="1" applyAlignment="1" applyProtection="1">
      <alignment horizontal="center" vertical="center" wrapText="1"/>
      <protection locked="0"/>
    </xf>
    <xf numFmtId="9" fontId="138" fillId="3" borderId="146" xfId="15" applyNumberFormat="1" applyFont="1" applyFill="1" applyBorder="1" applyAlignment="1" applyProtection="1">
      <alignment horizontal="center" vertical="center" wrapText="1"/>
      <protection locked="0"/>
    </xf>
    <xf numFmtId="0" fontId="138" fillId="3" borderId="146" xfId="21416" applyFont="1" applyFill="1" applyBorder="1" applyAlignment="1" applyProtection="1">
      <alignment horizontal="center" vertical="center" wrapText="1"/>
      <protection locked="0"/>
    </xf>
    <xf numFmtId="0" fontId="155" fillId="3" borderId="146" xfId="21416" applyFont="1" applyFill="1" applyBorder="1" applyAlignment="1" applyProtection="1">
      <protection locked="0"/>
    </xf>
    <xf numFmtId="0" fontId="158" fillId="3" borderId="146" xfId="21416" applyFont="1" applyFill="1" applyBorder="1" applyAlignment="1" applyProtection="1">
      <alignment horizontal="right"/>
      <protection locked="0"/>
    </xf>
    <xf numFmtId="198" fontId="138" fillId="80" borderId="146" xfId="5" applyNumberFormat="1" applyFont="1" applyFill="1" applyBorder="1" applyAlignment="1" applyProtection="1">
      <protection locked="0"/>
    </xf>
    <xf numFmtId="167" fontId="138" fillId="80" borderId="146" xfId="1" applyNumberFormat="1" applyFont="1" applyFill="1" applyBorder="1" applyAlignment="1" applyProtection="1"/>
    <xf numFmtId="0" fontId="138" fillId="3" borderId="146" xfId="21416" applyFont="1" applyFill="1" applyBorder="1" applyAlignment="1" applyProtection="1">
      <alignment horizontal="left" vertical="center"/>
      <protection locked="0"/>
    </xf>
    <xf numFmtId="3" fontId="138" fillId="3" borderId="146" xfId="5" applyNumberFormat="1" applyFont="1" applyFill="1" applyBorder="1" applyAlignment="1" applyProtection="1">
      <protection locked="0"/>
    </xf>
    <xf numFmtId="0" fontId="138" fillId="3" borderId="146" xfId="5" applyFont="1" applyFill="1" applyBorder="1" applyAlignment="1" applyProtection="1">
      <protection locked="0"/>
    </xf>
    <xf numFmtId="0" fontId="136" fillId="3" borderId="146" xfId="21416" applyFont="1" applyFill="1" applyBorder="1" applyAlignment="1" applyProtection="1">
      <alignment horizontal="right"/>
      <protection locked="0"/>
    </xf>
    <xf numFmtId="0" fontId="138" fillId="0" borderId="146" xfId="21416" applyFont="1" applyFill="1" applyBorder="1" applyAlignment="1" applyProtection="1">
      <alignment horizontal="left" vertical="center"/>
      <protection locked="0"/>
    </xf>
    <xf numFmtId="0" fontId="155" fillId="3" borderId="146" xfId="16" applyFont="1" applyFill="1" applyBorder="1" applyAlignment="1" applyProtection="1">
      <protection locked="0"/>
    </xf>
    <xf numFmtId="3" fontId="155" fillId="76" borderId="146" xfId="16" applyNumberFormat="1" applyFont="1" applyFill="1" applyBorder="1" applyAlignment="1" applyProtection="1"/>
    <xf numFmtId="0" fontId="162" fillId="0" borderId="0" xfId="0" applyFont="1" applyAlignment="1">
      <alignment horizontal="left" vertical="center" wrapText="1"/>
    </xf>
    <xf numFmtId="0" fontId="163" fillId="0" borderId="146" xfId="0" applyFont="1" applyBorder="1"/>
    <xf numFmtId="14" fontId="163" fillId="0" borderId="0" xfId="0" applyNumberFormat="1" applyFont="1"/>
    <xf numFmtId="196" fontId="7" fillId="0" borderId="146" xfId="0" applyNumberFormat="1" applyFont="1" applyFill="1" applyBorder="1" applyAlignment="1" applyProtection="1">
      <alignment vertical="center" wrapText="1"/>
      <protection locked="0"/>
    </xf>
    <xf numFmtId="196" fontId="7" fillId="0" borderId="146" xfId="0" applyNumberFormat="1" applyFont="1" applyFill="1" applyBorder="1" applyAlignment="1" applyProtection="1">
      <alignment horizontal="right" vertical="center" wrapText="1"/>
      <protection locked="0"/>
    </xf>
    <xf numFmtId="196" fontId="9" fillId="2" borderId="146" xfId="0" applyNumberFormat="1" applyFont="1" applyFill="1" applyBorder="1" applyAlignment="1" applyProtection="1">
      <alignment vertical="center"/>
      <protection locked="0"/>
    </xf>
    <xf numFmtId="196" fontId="4" fillId="0" borderId="146" xfId="0" applyNumberFormat="1" applyFont="1" applyFill="1" applyBorder="1" applyAlignment="1" applyProtection="1">
      <alignment vertical="center" wrapText="1"/>
      <protection locked="0"/>
    </xf>
    <xf numFmtId="196" fontId="4" fillId="0" borderId="155" xfId="0" applyNumberFormat="1" applyFont="1" applyFill="1" applyBorder="1" applyAlignment="1" applyProtection="1">
      <alignment vertical="center" wrapText="1"/>
      <protection locked="0"/>
    </xf>
    <xf numFmtId="10" fontId="4" fillId="0" borderId="146" xfId="20961" applyNumberFormat="1" applyFont="1" applyFill="1" applyBorder="1" applyAlignment="1" applyProtection="1">
      <alignment horizontal="right" vertical="center" wrapText="1"/>
      <protection locked="0"/>
    </xf>
    <xf numFmtId="10" fontId="4" fillId="0" borderId="146" xfId="20961" applyNumberFormat="1" applyFont="1" applyBorder="1" applyAlignment="1" applyProtection="1">
      <alignment vertical="center" wrapText="1"/>
      <protection locked="0"/>
    </xf>
    <xf numFmtId="10" fontId="4" fillId="0" borderId="155" xfId="20961" applyNumberFormat="1" applyFont="1" applyBorder="1" applyAlignment="1" applyProtection="1">
      <alignment vertical="center" wrapText="1"/>
      <protection locked="0"/>
    </xf>
    <xf numFmtId="168" fontId="17" fillId="2" borderId="146" xfId="20961" applyNumberFormat="1" applyFont="1" applyFill="1" applyBorder="1" applyAlignment="1" applyProtection="1">
      <alignment vertical="center"/>
      <protection locked="0"/>
    </xf>
    <xf numFmtId="168" fontId="17" fillId="2" borderId="155" xfId="20961" applyNumberFormat="1" applyFont="1" applyFill="1" applyBorder="1" applyAlignment="1" applyProtection="1">
      <alignment vertical="center"/>
      <protection locked="0"/>
    </xf>
    <xf numFmtId="168" fontId="26" fillId="36" borderId="0" xfId="20961" applyNumberFormat="1" applyFont="1" applyFill="1" applyBorder="1"/>
    <xf numFmtId="168" fontId="26" fillId="36" borderId="90" xfId="20961" applyNumberFormat="1" applyFont="1" applyFill="1" applyBorder="1"/>
    <xf numFmtId="168" fontId="9" fillId="2" borderId="146" xfId="20961" applyNumberFormat="1" applyFont="1" applyFill="1" applyBorder="1" applyAlignment="1" applyProtection="1">
      <alignment vertical="center"/>
      <protection locked="0"/>
    </xf>
    <xf numFmtId="168" fontId="9" fillId="2" borderId="155" xfId="20961" applyNumberFormat="1" applyFont="1" applyFill="1" applyBorder="1" applyAlignment="1" applyProtection="1">
      <alignment vertical="center"/>
      <protection locked="0"/>
    </xf>
    <xf numFmtId="196" fontId="9" fillId="2" borderId="155" xfId="0" applyNumberFormat="1" applyFont="1" applyFill="1" applyBorder="1" applyAlignment="1" applyProtection="1">
      <alignment vertical="center"/>
      <protection locked="0"/>
    </xf>
    <xf numFmtId="196" fontId="17" fillId="2" borderId="146" xfId="0" applyNumberFormat="1" applyFont="1" applyFill="1" applyBorder="1" applyAlignment="1" applyProtection="1">
      <alignment vertical="center"/>
      <protection locked="0"/>
    </xf>
    <xf numFmtId="196" fontId="17" fillId="2" borderId="155" xfId="0" applyNumberFormat="1" applyFont="1" applyFill="1" applyBorder="1" applyAlignment="1" applyProtection="1">
      <alignment vertical="center"/>
      <protection locked="0"/>
    </xf>
    <xf numFmtId="196" fontId="17" fillId="2" borderId="147" xfId="0" applyNumberFormat="1" applyFont="1" applyFill="1" applyBorder="1" applyAlignment="1" applyProtection="1">
      <alignment vertical="center"/>
      <protection locked="0"/>
    </xf>
    <xf numFmtId="168" fontId="17" fillId="2" borderId="153" xfId="20961" applyNumberFormat="1" applyFont="1" applyFill="1" applyBorder="1" applyAlignment="1" applyProtection="1">
      <alignment vertical="center"/>
      <protection locked="0"/>
    </xf>
    <xf numFmtId="168" fontId="17" fillId="2" borderId="152" xfId="20961" applyNumberFormat="1" applyFont="1" applyFill="1" applyBorder="1" applyAlignment="1" applyProtection="1">
      <alignment vertical="center"/>
      <protection locked="0"/>
    </xf>
    <xf numFmtId="167" fontId="0" fillId="0" borderId="146" xfId="7" applyNumberFormat="1" applyFont="1" applyBorder="1"/>
    <xf numFmtId="167" fontId="0" fillId="0" borderId="146" xfId="7" applyNumberFormat="1" applyFont="1" applyBorder="1" applyAlignment="1">
      <alignment vertical="center"/>
    </xf>
    <xf numFmtId="199" fontId="0" fillId="0" borderId="146" xfId="7" applyNumberFormat="1" applyFont="1" applyBorder="1"/>
    <xf numFmtId="167" fontId="0" fillId="35" borderId="97" xfId="7" applyNumberFormat="1" applyFont="1" applyFill="1" applyBorder="1"/>
    <xf numFmtId="167" fontId="0" fillId="35" borderId="97" xfId="7" applyNumberFormat="1" applyFont="1" applyFill="1" applyBorder="1" applyAlignment="1">
      <alignment vertical="center"/>
    </xf>
    <xf numFmtId="167" fontId="0" fillId="0" borderId="0" xfId="0" applyNumberFormat="1"/>
    <xf numFmtId="167" fontId="0" fillId="35" borderId="138" xfId="7" applyNumberFormat="1" applyFont="1" applyFill="1" applyBorder="1"/>
    <xf numFmtId="167" fontId="0" fillId="0" borderId="146" xfId="7" applyNumberFormat="1" applyFont="1" applyBorder="1" applyProtection="1"/>
    <xf numFmtId="167" fontId="0" fillId="0" borderId="146" xfId="7" applyNumberFormat="1" applyFont="1" applyFill="1" applyBorder="1"/>
    <xf numFmtId="0" fontId="9" fillId="0" borderId="156" xfId="0" applyFont="1" applyBorder="1" applyAlignment="1">
      <alignment vertical="center"/>
    </xf>
    <xf numFmtId="0" fontId="13" fillId="0" borderId="149" xfId="0" applyFont="1" applyBorder="1" applyAlignment="1">
      <alignment wrapText="1"/>
    </xf>
    <xf numFmtId="0" fontId="4" fillId="0" borderId="155" xfId="0" applyFont="1" applyBorder="1" applyAlignment="1"/>
    <xf numFmtId="0" fontId="10" fillId="0" borderId="149" xfId="0" applyFont="1" applyBorder="1" applyAlignment="1">
      <alignment horizontal="center" vertical="center" wrapText="1"/>
    </xf>
    <xf numFmtId="0" fontId="10" fillId="0" borderId="155" xfId="0" applyFont="1" applyBorder="1" applyAlignment="1">
      <alignment horizontal="center" vertical="center" wrapText="1"/>
    </xf>
    <xf numFmtId="0" fontId="9" fillId="0" borderId="149" xfId="0" applyFont="1" applyBorder="1" applyAlignment="1">
      <alignment wrapText="1"/>
    </xf>
    <xf numFmtId="0" fontId="9" fillId="0" borderId="155" xfId="0" applyFont="1" applyBorder="1" applyAlignment="1"/>
    <xf numFmtId="10" fontId="4" fillId="0" borderId="20" xfId="20961" applyNumberFormat="1" applyFont="1" applyBorder="1" applyAlignment="1"/>
    <xf numFmtId="10" fontId="4" fillId="0" borderId="155" xfId="20961" applyNumberFormat="1" applyFont="1" applyBorder="1" applyAlignment="1"/>
    <xf numFmtId="3" fontId="21" fillId="0" borderId="146" xfId="0" applyNumberFormat="1" applyFont="1" applyBorder="1" applyAlignment="1">
      <alignment vertical="center" wrapText="1"/>
    </xf>
    <xf numFmtId="3" fontId="21" fillId="0" borderId="146" xfId="0" applyNumberFormat="1" applyFont="1" applyFill="1" applyBorder="1" applyAlignment="1">
      <alignment vertical="center" wrapText="1"/>
    </xf>
    <xf numFmtId="3" fontId="4" fillId="0" borderId="0" xfId="0" applyNumberFormat="1" applyFont="1"/>
    <xf numFmtId="196" fontId="2" fillId="3" borderId="155" xfId="2" applyNumberFormat="1" applyFont="1" applyFill="1" applyBorder="1" applyAlignment="1" applyProtection="1">
      <alignment vertical="top"/>
      <protection locked="0"/>
    </xf>
    <xf numFmtId="196" fontId="2" fillId="35" borderId="155" xfId="2" applyNumberFormat="1" applyFont="1" applyFill="1" applyBorder="1" applyAlignment="1" applyProtection="1">
      <alignment vertical="top" wrapText="1"/>
    </xf>
    <xf numFmtId="196" fontId="2" fillId="3" borderId="155" xfId="2" applyNumberFormat="1" applyFont="1" applyFill="1" applyBorder="1" applyAlignment="1" applyProtection="1">
      <alignment vertical="top" wrapText="1"/>
      <protection locked="0"/>
    </xf>
    <xf numFmtId="196" fontId="2" fillId="35" borderId="155" xfId="2" applyNumberFormat="1" applyFont="1" applyFill="1" applyBorder="1" applyAlignment="1" applyProtection="1">
      <alignment vertical="top" wrapText="1"/>
      <protection locked="0"/>
    </xf>
    <xf numFmtId="10" fontId="108" fillId="0" borderId="146" xfId="20961" applyNumberFormat="1" applyFont="1" applyFill="1" applyBorder="1" applyAlignment="1">
      <alignment horizontal="left" vertical="center" wrapText="1"/>
    </xf>
    <xf numFmtId="10" fontId="6" fillId="35" borderId="146" xfId="20961" applyNumberFormat="1" applyFont="1" applyFill="1" applyBorder="1" applyAlignment="1">
      <alignment horizontal="left" vertical="center" wrapText="1"/>
    </xf>
    <xf numFmtId="43" fontId="22" fillId="0" borderId="161" xfId="7" applyFont="1" applyBorder="1" applyAlignment="1">
      <alignment horizontal="center" vertical="center"/>
    </xf>
    <xf numFmtId="43" fontId="23" fillId="0" borderId="12" xfId="7" applyFont="1" applyBorder="1" applyAlignment="1">
      <alignment horizontal="center" vertical="center"/>
    </xf>
    <xf numFmtId="43" fontId="22" fillId="0" borderId="12" xfId="7" applyFont="1" applyBorder="1" applyAlignment="1">
      <alignment horizontal="center" vertical="center"/>
    </xf>
    <xf numFmtId="43" fontId="19" fillId="0" borderId="12" xfId="7" applyFont="1" applyBorder="1" applyAlignment="1">
      <alignment horizontal="center" vertical="center"/>
    </xf>
    <xf numFmtId="43" fontId="103" fillId="0" borderId="12" xfId="7" applyFont="1" applyBorder="1" applyAlignment="1">
      <alignment horizontal="center" vertical="center"/>
    </xf>
    <xf numFmtId="43" fontId="23" fillId="0" borderId="12" xfId="7" applyFont="1" applyFill="1" applyBorder="1" applyAlignment="1">
      <alignment horizontal="center" vertical="center"/>
    </xf>
    <xf numFmtId="43" fontId="23" fillId="0" borderId="13" xfId="7" applyFont="1" applyBorder="1" applyAlignment="1">
      <alignment horizontal="center" vertical="center"/>
    </xf>
    <xf numFmtId="43" fontId="22" fillId="0" borderId="13" xfId="7" applyFont="1" applyBorder="1" applyAlignment="1">
      <alignment horizontal="center" vertical="center"/>
    </xf>
    <xf numFmtId="43" fontId="19" fillId="0" borderId="13" xfId="7" applyFont="1" applyBorder="1" applyAlignment="1">
      <alignment vertical="center"/>
    </xf>
    <xf numFmtId="43" fontId="22" fillId="0" borderId="14" xfId="7" applyFont="1" applyFill="1" applyBorder="1" applyAlignment="1">
      <alignment horizontal="center" vertical="center"/>
    </xf>
    <xf numFmtId="43" fontId="23" fillId="0" borderId="146" xfId="7" applyFont="1" applyBorder="1" applyAlignment="1">
      <alignment horizontal="center" vertical="center"/>
    </xf>
    <xf numFmtId="43" fontId="22" fillId="0" borderId="146" xfId="7" applyFont="1" applyFill="1" applyBorder="1" applyAlignment="1">
      <alignment horizontal="center" vertical="center"/>
    </xf>
    <xf numFmtId="43" fontId="23" fillId="0" borderId="146" xfId="7" applyFont="1" applyFill="1" applyBorder="1" applyAlignment="1">
      <alignment horizontal="center" vertical="center"/>
    </xf>
    <xf numFmtId="43" fontId="22" fillId="0" borderId="146" xfId="7" applyFont="1" applyBorder="1" applyAlignment="1">
      <alignment horizontal="center" vertical="center"/>
    </xf>
    <xf numFmtId="167" fontId="4" fillId="0" borderId="0" xfId="7" applyNumberFormat="1" applyFont="1"/>
    <xf numFmtId="196" fontId="4" fillId="0" borderId="146" xfId="0" applyNumberFormat="1" applyFont="1" applyBorder="1"/>
    <xf numFmtId="196" fontId="4" fillId="0" borderId="146" xfId="0" applyNumberFormat="1" applyFont="1" applyFill="1" applyBorder="1"/>
    <xf numFmtId="196" fontId="4" fillId="0" borderId="149" xfId="0" applyNumberFormat="1" applyFont="1" applyBorder="1"/>
    <xf numFmtId="9" fontId="4" fillId="0" borderId="155" xfId="20961" applyFont="1" applyBorder="1"/>
    <xf numFmtId="3" fontId="0" fillId="0" borderId="0" xfId="0" applyNumberFormat="1"/>
    <xf numFmtId="10" fontId="112" fillId="77" borderId="146" xfId="20961" applyNumberFormat="1" applyFont="1" applyFill="1" applyBorder="1" applyAlignment="1" applyProtection="1">
      <alignment horizontal="right" vertical="center"/>
    </xf>
    <xf numFmtId="43" fontId="116" fillId="0" borderId="0" xfId="7" applyFont="1"/>
    <xf numFmtId="43" fontId="119" fillId="0" borderId="146" xfId="7" applyFont="1" applyBorder="1"/>
    <xf numFmtId="167" fontId="116" fillId="0" borderId="0" xfId="7" applyNumberFormat="1" applyFont="1"/>
    <xf numFmtId="167" fontId="119" fillId="0" borderId="138" xfId="7" applyNumberFormat="1" applyFont="1" applyBorder="1" applyAlignment="1">
      <alignment horizontal="center" vertical="center" wrapText="1"/>
    </xf>
    <xf numFmtId="167" fontId="119" fillId="0" borderId="138" xfId="7" applyNumberFormat="1" applyFont="1" applyFill="1" applyBorder="1" applyAlignment="1">
      <alignment horizontal="center" vertical="center" wrapText="1"/>
    </xf>
    <xf numFmtId="167" fontId="119" fillId="0" borderId="146" xfId="7" applyNumberFormat="1" applyFont="1" applyBorder="1"/>
    <xf numFmtId="167" fontId="119" fillId="0" borderId="138" xfId="7" applyNumberFormat="1" applyFont="1" applyBorder="1"/>
    <xf numFmtId="167" fontId="115" fillId="0" borderId="146" xfId="7" applyNumberFormat="1" applyFont="1" applyBorder="1"/>
    <xf numFmtId="167" fontId="115" fillId="0" borderId="146" xfId="7" applyNumberFormat="1" applyFont="1" applyFill="1" applyBorder="1"/>
    <xf numFmtId="167" fontId="118" fillId="0" borderId="146" xfId="7" applyNumberFormat="1" applyFont="1" applyBorder="1"/>
    <xf numFmtId="167" fontId="116" fillId="0" borderId="0" xfId="0" applyNumberFormat="1" applyFont="1"/>
    <xf numFmtId="167" fontId="116" fillId="0" borderId="0" xfId="7" applyNumberFormat="1" applyFont="1" applyFill="1"/>
    <xf numFmtId="169" fontId="116" fillId="0" borderId="0" xfId="0" applyNumberFormat="1" applyFont="1"/>
    <xf numFmtId="43" fontId="115" fillId="0" borderId="146" xfId="7" applyFont="1" applyBorder="1"/>
    <xf numFmtId="43" fontId="118" fillId="0" borderId="146" xfId="7" applyFont="1" applyBorder="1"/>
    <xf numFmtId="199" fontId="115" fillId="0" borderId="146" xfId="7" applyNumberFormat="1" applyFont="1" applyBorder="1"/>
    <xf numFmtId="199" fontId="118" fillId="0" borderId="146" xfId="7" applyNumberFormat="1" applyFont="1" applyBorder="1"/>
    <xf numFmtId="167" fontId="116" fillId="0" borderId="0" xfId="0" applyNumberFormat="1" applyFont="1" applyBorder="1"/>
    <xf numFmtId="43" fontId="119" fillId="0" borderId="146" xfId="7" applyFont="1" applyFill="1" applyBorder="1" applyAlignment="1">
      <alignment horizontal="center" vertical="center" wrapText="1"/>
    </xf>
    <xf numFmtId="43" fontId="116" fillId="0" borderId="146" xfId="7" applyFont="1" applyBorder="1"/>
    <xf numFmtId="167" fontId="115" fillId="0" borderId="0" xfId="0" applyNumberFormat="1" applyFont="1"/>
    <xf numFmtId="167" fontId="119" fillId="87" borderId="146" xfId="7" applyNumberFormat="1" applyFont="1" applyFill="1" applyBorder="1"/>
    <xf numFmtId="167" fontId="115" fillId="0" borderId="146" xfId="7" applyNumberFormat="1" applyFont="1" applyBorder="1" applyAlignment="1">
      <alignment horizontal="left" indent="1"/>
    </xf>
    <xf numFmtId="167" fontId="116" fillId="88" borderId="146" xfId="7" applyNumberFormat="1" applyFont="1" applyFill="1" applyBorder="1"/>
    <xf numFmtId="43" fontId="115" fillId="0" borderId="146" xfId="7" applyFont="1" applyBorder="1" applyAlignment="1">
      <alignment horizontal="left" indent="1"/>
    </xf>
    <xf numFmtId="43" fontId="118" fillId="80" borderId="146" xfId="7" applyFont="1" applyFill="1" applyBorder="1"/>
    <xf numFmtId="167" fontId="118" fillId="0" borderId="156" xfId="7" applyNumberFormat="1" applyFont="1" applyBorder="1" applyAlignment="1">
      <alignment horizontal="left" indent="1"/>
    </xf>
    <xf numFmtId="167" fontId="115" fillId="0" borderId="156" xfId="7" applyNumberFormat="1" applyFont="1" applyBorder="1" applyAlignment="1">
      <alignment horizontal="left" indent="1"/>
    </xf>
    <xf numFmtId="167" fontId="115" fillId="79" borderId="156" xfId="7" applyNumberFormat="1" applyFont="1" applyFill="1" applyBorder="1"/>
    <xf numFmtId="167" fontId="115" fillId="79" borderId="146" xfId="7" applyNumberFormat="1" applyFont="1" applyFill="1" applyBorder="1"/>
    <xf numFmtId="167" fontId="115" fillId="0" borderId="154" xfId="7" applyNumberFormat="1" applyFont="1" applyFill="1" applyBorder="1" applyAlignment="1">
      <alignment horizontal="left" wrapText="1" indent="1"/>
    </xf>
    <xf numFmtId="167" fontId="115" fillId="0" borderId="153" xfId="7" applyNumberFormat="1" applyFont="1" applyFill="1" applyBorder="1"/>
    <xf numFmtId="167" fontId="115" fillId="0" borderId="0" xfId="0" applyNumberFormat="1" applyFont="1" applyBorder="1"/>
    <xf numFmtId="167" fontId="115" fillId="0" borderId="0" xfId="0" applyNumberFormat="1" applyFont="1" applyAlignment="1">
      <alignment horizontal="center" vertical="center"/>
    </xf>
    <xf numFmtId="167" fontId="115" fillId="0" borderId="146" xfId="7" applyNumberFormat="1" applyFont="1" applyFill="1" applyBorder="1" applyAlignment="1">
      <alignment horizontal="left" vertical="center" wrapText="1"/>
    </xf>
    <xf numFmtId="167" fontId="115" fillId="0" borderId="146" xfId="7" applyNumberFormat="1" applyFont="1" applyBorder="1" applyAlignment="1">
      <alignment horizontal="center" vertical="center" textRotation="90" wrapText="1"/>
    </xf>
    <xf numFmtId="167" fontId="115" fillId="0" borderId="146" xfId="7" applyNumberFormat="1" applyFont="1" applyBorder="1" applyAlignment="1">
      <alignment horizontal="center" vertical="center" wrapText="1"/>
    </xf>
    <xf numFmtId="167" fontId="115" fillId="0" borderId="146" xfId="7" applyNumberFormat="1" applyFont="1" applyBorder="1" applyAlignment="1">
      <alignment horizontal="center" vertical="center"/>
    </xf>
    <xf numFmtId="167" fontId="118" fillId="0" borderId="146" xfId="7" applyNumberFormat="1" applyFont="1" applyFill="1" applyBorder="1" applyAlignment="1">
      <alignment horizontal="left" vertical="center" wrapText="1"/>
    </xf>
    <xf numFmtId="43" fontId="120" fillId="0" borderId="146" xfId="7" applyFont="1" applyBorder="1"/>
    <xf numFmtId="167" fontId="120" fillId="0" borderId="146" xfId="7" applyNumberFormat="1" applyFont="1" applyBorder="1"/>
    <xf numFmtId="167" fontId="120" fillId="0" borderId="147" xfId="7" applyNumberFormat="1" applyFont="1" applyBorder="1"/>
    <xf numFmtId="9" fontId="4" fillId="0" borderId="91" xfId="20961" applyFont="1" applyFill="1" applyBorder="1" applyAlignment="1">
      <alignment vertical="center"/>
    </xf>
    <xf numFmtId="9" fontId="4" fillId="0" borderId="108" xfId="20961" applyFont="1" applyFill="1" applyBorder="1" applyAlignment="1">
      <alignment vertical="center"/>
    </xf>
    <xf numFmtId="167" fontId="4" fillId="3" borderId="95" xfId="7" applyNumberFormat="1" applyFont="1" applyFill="1" applyBorder="1" applyAlignment="1">
      <alignment vertical="center"/>
    </xf>
    <xf numFmtId="167" fontId="4" fillId="3" borderId="20" xfId="7" applyNumberFormat="1" applyFont="1" applyFill="1" applyBorder="1" applyAlignment="1">
      <alignment vertical="center"/>
    </xf>
    <xf numFmtId="167" fontId="26" fillId="36" borderId="0" xfId="7" applyNumberFormat="1" applyFont="1" applyFill="1" applyBorder="1"/>
    <xf numFmtId="167" fontId="4" fillId="0" borderId="51" xfId="7" applyNumberFormat="1" applyFont="1" applyFill="1" applyBorder="1" applyAlignment="1">
      <alignment vertical="center"/>
    </xf>
    <xf numFmtId="167" fontId="4" fillId="0" borderId="62" xfId="7" applyNumberFormat="1" applyFont="1" applyFill="1" applyBorder="1" applyAlignment="1">
      <alignment vertical="center"/>
    </xf>
    <xf numFmtId="167" fontId="4" fillId="0" borderId="98" xfId="7" applyNumberFormat="1" applyFont="1" applyFill="1" applyBorder="1" applyAlignment="1">
      <alignment vertical="center"/>
    </xf>
    <xf numFmtId="167" fontId="4" fillId="0" borderId="112" xfId="7" applyNumberFormat="1" applyFont="1" applyFill="1" applyBorder="1" applyAlignment="1">
      <alignment vertical="center"/>
    </xf>
    <xf numFmtId="167" fontId="4" fillId="0" borderId="25" xfId="7" applyNumberFormat="1" applyFont="1" applyFill="1" applyBorder="1" applyAlignment="1">
      <alignment vertical="center"/>
    </xf>
    <xf numFmtId="167" fontId="4" fillId="0" borderId="17" xfId="7" applyNumberFormat="1" applyFont="1" applyFill="1" applyBorder="1" applyAlignment="1">
      <alignment vertical="center"/>
    </xf>
    <xf numFmtId="167" fontId="4" fillId="0" borderId="93" xfId="7" applyNumberFormat="1" applyFont="1" applyFill="1" applyBorder="1" applyAlignment="1">
      <alignment vertical="center"/>
    </xf>
    <xf numFmtId="167" fontId="4" fillId="0" borderId="106" xfId="7" applyNumberFormat="1" applyFont="1" applyFill="1" applyBorder="1" applyAlignment="1">
      <alignment vertical="center"/>
    </xf>
    <xf numFmtId="167" fontId="4" fillId="0" borderId="22" xfId="7" applyNumberFormat="1" applyFont="1" applyFill="1" applyBorder="1" applyAlignment="1">
      <alignment vertical="center"/>
    </xf>
    <xf numFmtId="167" fontId="4" fillId="0" borderId="24" xfId="7" applyNumberFormat="1" applyFont="1" applyFill="1" applyBorder="1" applyAlignment="1">
      <alignment vertical="center"/>
    </xf>
    <xf numFmtId="167" fontId="4" fillId="0" borderId="23" xfId="7" applyNumberFormat="1" applyFont="1" applyFill="1" applyBorder="1" applyAlignment="1">
      <alignment vertical="center"/>
    </xf>
    <xf numFmtId="14" fontId="4" fillId="0" borderId="0" xfId="0" applyNumberFormat="1" applyFont="1" applyAlignment="1">
      <alignment horizontal="left"/>
    </xf>
    <xf numFmtId="0" fontId="103" fillId="0" borderId="64" xfId="0" applyFont="1" applyBorder="1" applyAlignment="1">
      <alignment horizontal="left" vertical="center" wrapText="1"/>
    </xf>
    <xf numFmtId="0" fontId="103" fillId="0" borderId="63" xfId="0" applyFont="1" applyBorder="1" applyAlignment="1">
      <alignment horizontal="left" vertical="center" wrapText="1"/>
    </xf>
    <xf numFmtId="0" fontId="140" fillId="0" borderId="159" xfId="0" applyFont="1" applyBorder="1" applyAlignment="1">
      <alignment horizontal="center" vertical="center"/>
    </xf>
    <xf numFmtId="0" fontId="140" fillId="0" borderId="28" xfId="0" applyFont="1" applyBorder="1" applyAlignment="1">
      <alignment horizontal="center" vertical="center"/>
    </xf>
    <xf numFmtId="0" fontId="140" fillId="0" borderId="160" xfId="0" applyFont="1" applyBorder="1" applyAlignment="1">
      <alignment horizontal="center" vertical="center"/>
    </xf>
    <xf numFmtId="0" fontId="0" fillId="0" borderId="98" xfId="0" applyBorder="1" applyAlignment="1">
      <alignment horizontal="center"/>
    </xf>
    <xf numFmtId="0" fontId="0" fillId="0" borderId="95" xfId="0" applyBorder="1" applyAlignment="1">
      <alignment horizontal="center"/>
    </xf>
    <xf numFmtId="0" fontId="0" fillId="0" borderId="96" xfId="0" applyBorder="1" applyAlignment="1">
      <alignment horizontal="center"/>
    </xf>
    <xf numFmtId="0" fontId="0" fillId="0" borderId="139" xfId="0" applyBorder="1" applyAlignment="1">
      <alignment horizontal="center"/>
    </xf>
    <xf numFmtId="0" fontId="0" fillId="0" borderId="140" xfId="0" applyBorder="1" applyAlignment="1">
      <alignment horizontal="center"/>
    </xf>
    <xf numFmtId="0" fontId="0" fillId="0" borderId="141" xfId="0" applyBorder="1" applyAlignment="1">
      <alignment horizontal="center"/>
    </xf>
    <xf numFmtId="0" fontId="0" fillId="0" borderId="138" xfId="0" applyBorder="1" applyAlignment="1">
      <alignment horizontal="center" vertical="center"/>
    </xf>
    <xf numFmtId="0" fontId="127" fillId="0" borderId="92" xfId="0" applyFont="1" applyBorder="1" applyAlignment="1">
      <alignment horizontal="center" vertical="center"/>
    </xf>
    <xf numFmtId="0" fontId="127" fillId="0" borderId="7" xfId="0" applyFont="1" applyBorder="1" applyAlignment="1">
      <alignment horizontal="center" vertical="center"/>
    </xf>
    <xf numFmtId="0" fontId="10" fillId="0" borderId="16" xfId="0" applyFont="1" applyFill="1" applyBorder="1" applyAlignment="1" applyProtection="1">
      <alignment horizontal="center" vertical="center"/>
    </xf>
    <xf numFmtId="0" fontId="10" fillId="0" borderId="17" xfId="0" applyFont="1" applyFill="1" applyBorder="1" applyAlignment="1" applyProtection="1">
      <alignment horizontal="center" vertical="center"/>
    </xf>
    <xf numFmtId="0" fontId="127" fillId="0" borderId="142" xfId="0" applyFont="1" applyBorder="1" applyAlignment="1">
      <alignment horizontal="center" vertical="center" wrapText="1"/>
    </xf>
    <xf numFmtId="0" fontId="127" fillId="0" borderId="7" xfId="0" applyFont="1" applyBorder="1" applyAlignment="1">
      <alignment horizontal="center" vertical="center" wrapText="1"/>
    </xf>
    <xf numFmtId="0" fontId="0" fillId="0" borderId="128" xfId="0" applyBorder="1" applyAlignment="1">
      <alignment horizontal="center" vertical="center"/>
    </xf>
    <xf numFmtId="0" fontId="0" fillId="0" borderId="11" xfId="0" applyBorder="1" applyAlignment="1">
      <alignment horizontal="center" vertical="center"/>
    </xf>
    <xf numFmtId="0" fontId="0" fillId="0" borderId="138" xfId="0" applyBorder="1" applyAlignment="1">
      <alignment horizontal="center" vertical="center" wrapText="1"/>
    </xf>
    <xf numFmtId="0" fontId="10" fillId="0" borderId="16" xfId="0" applyFont="1" applyFill="1" applyBorder="1" applyAlignment="1" applyProtection="1">
      <alignment horizontal="center"/>
    </xf>
    <xf numFmtId="0" fontId="10" fillId="0" borderId="17" xfId="0" applyFont="1" applyFill="1" applyBorder="1" applyAlignment="1" applyProtection="1">
      <alignment horizontal="center"/>
    </xf>
    <xf numFmtId="0" fontId="13" fillId="0" borderId="146" xfId="0" applyFont="1" applyBorder="1" applyAlignment="1">
      <alignment wrapText="1"/>
    </xf>
    <xf numFmtId="0" fontId="4" fillId="0" borderId="155" xfId="0" applyFont="1" applyBorder="1" applyAlignment="1"/>
    <xf numFmtId="0" fontId="10" fillId="0" borderId="14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8" xfId="0" applyFont="1" applyBorder="1" applyAlignment="1">
      <alignment horizontal="center" vertical="center" wrapText="1"/>
    </xf>
    <xf numFmtId="0" fontId="4" fillId="0" borderId="97" xfId="0" applyFont="1" applyFill="1" applyBorder="1" applyAlignment="1">
      <alignment horizontal="center" vertical="center" wrapText="1"/>
    </xf>
    <xf numFmtId="0" fontId="4" fillId="0" borderId="98" xfId="0" applyFont="1" applyFill="1" applyBorder="1" applyAlignment="1">
      <alignment horizontal="center"/>
    </xf>
    <xf numFmtId="0" fontId="4" fillId="0" borderId="20" xfId="0" applyFont="1" applyFill="1" applyBorder="1" applyAlignment="1">
      <alignment horizontal="center"/>
    </xf>
    <xf numFmtId="0" fontId="6" fillId="35" borderId="116" xfId="0" applyFont="1" applyFill="1" applyBorder="1" applyAlignment="1">
      <alignment horizontal="center" vertical="center" wrapText="1"/>
    </xf>
    <xf numFmtId="0" fontId="6" fillId="35" borderId="27" xfId="0" applyFont="1" applyFill="1" applyBorder="1" applyAlignment="1">
      <alignment horizontal="center" vertical="center" wrapText="1"/>
    </xf>
    <xf numFmtId="0" fontId="6" fillId="35" borderId="113" xfId="0" applyFont="1" applyFill="1" applyBorder="1" applyAlignment="1">
      <alignment horizontal="center" vertical="center" wrapText="1"/>
    </xf>
    <xf numFmtId="0" fontId="6" fillId="35" borderId="96"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6"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2" xfId="0" applyFont="1" applyFill="1" applyBorder="1" applyAlignment="1" applyProtection="1">
      <alignment horizontal="center" vertical="center" wrapText="1"/>
    </xf>
    <xf numFmtId="0" fontId="6" fillId="86" borderId="155" xfId="0" applyFont="1" applyFill="1" applyBorder="1" applyAlignment="1" applyProtection="1">
      <alignment horizontal="center" vertical="center" wrapText="1"/>
    </xf>
    <xf numFmtId="0" fontId="101" fillId="3" borderId="65" xfId="13" applyFont="1" applyFill="1" applyBorder="1" applyAlignment="1" applyProtection="1">
      <alignment horizontal="center" vertical="center" wrapText="1"/>
      <protection locked="0"/>
    </xf>
    <xf numFmtId="0" fontId="101"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7" fontId="15" fillId="3" borderId="15" xfId="1" applyNumberFormat="1" applyFont="1" applyFill="1" applyBorder="1" applyAlignment="1" applyProtection="1">
      <alignment horizontal="center"/>
      <protection locked="0"/>
    </xf>
    <xf numFmtId="167" fontId="15" fillId="3" borderId="16" xfId="1" applyNumberFormat="1" applyFont="1" applyFill="1" applyBorder="1" applyAlignment="1" applyProtection="1">
      <alignment horizontal="center"/>
      <protection locked="0"/>
    </xf>
    <xf numFmtId="167" fontId="15" fillId="3" borderId="17" xfId="1" applyNumberFormat="1" applyFont="1" applyFill="1" applyBorder="1" applyAlignment="1" applyProtection="1">
      <alignment horizontal="center"/>
      <protection locked="0"/>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167" fontId="15" fillId="0" borderId="88" xfId="1" applyNumberFormat="1" applyFont="1" applyFill="1" applyBorder="1" applyAlignment="1" applyProtection="1">
      <alignment horizontal="center" vertical="center" wrapText="1"/>
      <protection locked="0"/>
    </xf>
    <xf numFmtId="167" fontId="15" fillId="0" borderId="8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7"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104" xfId="0" applyFont="1" applyFill="1" applyBorder="1" applyAlignment="1">
      <alignment horizontal="center" vertical="center" wrapText="1"/>
    </xf>
    <xf numFmtId="0" fontId="14" fillId="0" borderId="52" xfId="0" applyFont="1" applyFill="1" applyBorder="1" applyAlignment="1">
      <alignment horizontal="left" vertical="center"/>
    </xf>
    <xf numFmtId="0" fontId="14" fillId="0" borderId="53" xfId="0" applyFont="1" applyFill="1" applyBorder="1" applyAlignment="1">
      <alignment horizontal="left" vertical="center"/>
    </xf>
    <xf numFmtId="0" fontId="4" fillId="0" borderId="16" xfId="0" applyFont="1" applyBorder="1" applyAlignment="1">
      <alignment horizontal="center"/>
    </xf>
    <xf numFmtId="0" fontId="4" fillId="0" borderId="17" xfId="0" applyFont="1" applyBorder="1" applyAlignment="1">
      <alignment horizontal="center" vertical="center" wrapText="1"/>
    </xf>
    <xf numFmtId="0" fontId="4" fillId="0" borderId="112" xfId="0" applyFont="1" applyBorder="1" applyAlignment="1">
      <alignment horizontal="center" vertical="center" wrapText="1"/>
    </xf>
    <xf numFmtId="0" fontId="118" fillId="0" borderId="119" xfId="0" applyNumberFormat="1" applyFont="1" applyFill="1" applyBorder="1" applyAlignment="1">
      <alignment horizontal="left" vertical="center" wrapText="1"/>
    </xf>
    <xf numFmtId="0" fontId="118" fillId="0" borderId="120" xfId="0" applyNumberFormat="1" applyFont="1" applyFill="1" applyBorder="1" applyAlignment="1">
      <alignment horizontal="left" vertical="center" wrapText="1"/>
    </xf>
    <xf numFmtId="0" fontId="118" fillId="0" borderId="122" xfId="0" applyNumberFormat="1" applyFont="1" applyFill="1" applyBorder="1" applyAlignment="1">
      <alignment horizontal="left" vertical="center" wrapText="1"/>
    </xf>
    <xf numFmtId="0" fontId="118" fillId="0" borderId="123" xfId="0" applyNumberFormat="1" applyFont="1" applyFill="1" applyBorder="1" applyAlignment="1">
      <alignment horizontal="left" vertical="center" wrapText="1"/>
    </xf>
    <xf numFmtId="0" fontId="118" fillId="0" borderId="125" xfId="0" applyNumberFormat="1" applyFont="1" applyFill="1" applyBorder="1" applyAlignment="1">
      <alignment horizontal="left" vertical="center" wrapText="1"/>
    </xf>
    <xf numFmtId="0" fontId="118" fillId="0" borderId="126" xfId="0" applyNumberFormat="1" applyFont="1" applyFill="1" applyBorder="1" applyAlignment="1">
      <alignment horizontal="left" vertical="center" wrapText="1"/>
    </xf>
    <xf numFmtId="167" fontId="119" fillId="0" borderId="145" xfId="7" applyNumberFormat="1" applyFont="1" applyFill="1" applyBorder="1" applyAlignment="1">
      <alignment horizontal="center" vertical="center" wrapText="1"/>
    </xf>
    <xf numFmtId="167" fontId="119" fillId="0" borderId="144" xfId="7" applyNumberFormat="1" applyFont="1" applyFill="1" applyBorder="1" applyAlignment="1">
      <alignment horizontal="center" vertical="center" wrapText="1"/>
    </xf>
    <xf numFmtId="167" fontId="119" fillId="0" borderId="121" xfId="7" applyNumberFormat="1" applyFont="1" applyFill="1" applyBorder="1" applyAlignment="1">
      <alignment horizontal="center" vertical="center" wrapText="1"/>
    </xf>
    <xf numFmtId="167" fontId="119" fillId="0" borderId="51" xfId="7" applyNumberFormat="1" applyFont="1" applyFill="1" applyBorder="1" applyAlignment="1">
      <alignment horizontal="center" vertical="center" wrapText="1"/>
    </xf>
    <xf numFmtId="167" fontId="119" fillId="0" borderId="124" xfId="7" applyNumberFormat="1" applyFont="1" applyFill="1" applyBorder="1" applyAlignment="1">
      <alignment horizontal="center" vertical="center" wrapText="1"/>
    </xf>
    <xf numFmtId="167" fontId="119" fillId="0" borderId="11" xfId="7" applyNumberFormat="1" applyFont="1" applyFill="1" applyBorder="1" applyAlignment="1">
      <alignment horizontal="center" vertical="center" wrapText="1"/>
    </xf>
    <xf numFmtId="0" fontId="115" fillId="0" borderId="147"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146" xfId="0" applyFont="1" applyBorder="1" applyAlignment="1">
      <alignment horizontal="center" vertical="center" wrapText="1"/>
    </xf>
    <xf numFmtId="0" fontId="115" fillId="0" borderId="149" xfId="0" applyFont="1" applyBorder="1" applyAlignment="1">
      <alignment horizontal="center" vertical="center" wrapText="1"/>
    </xf>
    <xf numFmtId="0" fontId="115" fillId="0" borderId="148" xfId="0" applyFont="1" applyBorder="1" applyAlignment="1">
      <alignment horizontal="center" vertical="center" wrapText="1"/>
    </xf>
    <xf numFmtId="0" fontId="123" fillId="0" borderId="146" xfId="0" applyFont="1" applyFill="1" applyBorder="1" applyAlignment="1">
      <alignment horizontal="center" vertical="center"/>
    </xf>
    <xf numFmtId="0" fontId="117" fillId="0" borderId="145" xfId="0" applyFont="1" applyFill="1" applyBorder="1" applyAlignment="1">
      <alignment horizontal="center" vertical="center"/>
    </xf>
    <xf numFmtId="0" fontId="117" fillId="0" borderId="150" xfId="0" applyFont="1" applyFill="1" applyBorder="1" applyAlignment="1">
      <alignment horizontal="center" vertical="center"/>
    </xf>
    <xf numFmtId="0" fontId="117" fillId="0" borderId="51" xfId="0" applyFont="1" applyFill="1" applyBorder="1" applyAlignment="1">
      <alignment horizontal="center" vertical="center"/>
    </xf>
    <xf numFmtId="0" fontId="117" fillId="0" borderId="11" xfId="0" applyFont="1" applyFill="1" applyBorder="1" applyAlignment="1">
      <alignment horizontal="center" vertical="center"/>
    </xf>
    <xf numFmtId="0" fontId="118" fillId="0" borderId="146" xfId="0" applyFont="1" applyFill="1" applyBorder="1" applyAlignment="1">
      <alignment horizontal="center" vertical="center" wrapText="1"/>
    </xf>
    <xf numFmtId="0" fontId="118" fillId="0" borderId="145" xfId="0" applyFont="1" applyFill="1" applyBorder="1" applyAlignment="1">
      <alignment horizontal="center" vertical="center" wrapText="1"/>
    </xf>
    <xf numFmtId="0" fontId="118" fillId="0" borderId="150" xfId="0" applyFont="1" applyFill="1" applyBorder="1" applyAlignment="1">
      <alignment horizontal="center" vertical="center" wrapText="1"/>
    </xf>
    <xf numFmtId="0" fontId="118" fillId="0" borderId="127" xfId="0" applyFont="1" applyFill="1" applyBorder="1" applyAlignment="1">
      <alignment horizontal="center" vertical="center" wrapText="1"/>
    </xf>
    <xf numFmtId="0" fontId="118" fillId="0" borderId="128" xfId="0" applyFont="1" applyFill="1" applyBorder="1" applyAlignment="1">
      <alignment horizontal="center" vertical="center" wrapText="1"/>
    </xf>
    <xf numFmtId="0" fontId="118" fillId="0" borderId="51"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5" fillId="0" borderId="149" xfId="0" applyFont="1" applyFill="1" applyBorder="1" applyAlignment="1">
      <alignment horizontal="center" vertical="center" wrapText="1"/>
    </xf>
    <xf numFmtId="0" fontId="115" fillId="0" borderId="151" xfId="0" applyFont="1" applyFill="1" applyBorder="1" applyAlignment="1">
      <alignment horizontal="center" vertical="center" wrapText="1"/>
    </xf>
    <xf numFmtId="0" fontId="118" fillId="0" borderId="129"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5" fillId="0" borderId="129" xfId="0" applyFont="1" applyFill="1" applyBorder="1" applyAlignment="1">
      <alignment horizontal="center" vertical="center" wrapText="1"/>
    </xf>
    <xf numFmtId="0" fontId="115" fillId="0" borderId="145"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150" xfId="0" applyFont="1" applyFill="1" applyBorder="1" applyAlignment="1">
      <alignment horizontal="center" vertical="center" wrapText="1"/>
    </xf>
    <xf numFmtId="0" fontId="115" fillId="0" borderId="11" xfId="0" applyFont="1" applyBorder="1" applyAlignment="1">
      <alignment horizontal="center" vertical="center" wrapText="1"/>
    </xf>
    <xf numFmtId="0" fontId="115" fillId="0" borderId="155" xfId="0" applyFont="1" applyBorder="1" applyAlignment="1">
      <alignment horizontal="center" vertical="center" wrapText="1"/>
    </xf>
    <xf numFmtId="0" fontId="115" fillId="0" borderId="52" xfId="0" applyFont="1" applyFill="1" applyBorder="1" applyAlignment="1">
      <alignment horizontal="center" vertical="center" wrapText="1"/>
    </xf>
    <xf numFmtId="0" fontId="115" fillId="0" borderId="53" xfId="0" applyFont="1" applyFill="1" applyBorder="1" applyAlignment="1">
      <alignment horizontal="center" vertical="center" wrapText="1"/>
    </xf>
    <xf numFmtId="0" fontId="115" fillId="0" borderId="104" xfId="0" applyFont="1" applyFill="1" applyBorder="1" applyAlignment="1">
      <alignment horizontal="center" vertical="center" wrapText="1"/>
    </xf>
    <xf numFmtId="0" fontId="118" fillId="0" borderId="52" xfId="0" applyNumberFormat="1" applyFont="1" applyFill="1" applyBorder="1" applyAlignment="1">
      <alignment horizontal="left" vertical="top" wrapText="1"/>
    </xf>
    <xf numFmtId="0" fontId="118" fillId="0" borderId="104" xfId="0" applyNumberFormat="1" applyFont="1" applyFill="1" applyBorder="1" applyAlignment="1">
      <alignment horizontal="left" vertical="top" wrapText="1"/>
    </xf>
    <xf numFmtId="0" fontId="118" fillId="0" borderId="61" xfId="0" applyNumberFormat="1" applyFont="1" applyFill="1" applyBorder="1" applyAlignment="1">
      <alignment horizontal="left" vertical="top" wrapText="1"/>
    </xf>
    <xf numFmtId="0" fontId="118" fillId="0" borderId="90" xfId="0" applyNumberFormat="1" applyFont="1" applyFill="1" applyBorder="1" applyAlignment="1">
      <alignment horizontal="left" vertical="top" wrapText="1"/>
    </xf>
    <xf numFmtId="0" fontId="118" fillId="0" borderId="118" xfId="0" applyNumberFormat="1" applyFont="1" applyFill="1" applyBorder="1" applyAlignment="1">
      <alignment horizontal="left" vertical="top" wrapText="1"/>
    </xf>
    <xf numFmtId="0" fontId="118" fillId="0" borderId="157" xfId="0" applyNumberFormat="1" applyFont="1" applyFill="1" applyBorder="1" applyAlignment="1">
      <alignment horizontal="left" vertical="top" wrapText="1"/>
    </xf>
    <xf numFmtId="0" fontId="115" fillId="0" borderId="147" xfId="0" applyFont="1" applyFill="1" applyBorder="1" applyAlignment="1">
      <alignment horizontal="center" vertical="center" wrapText="1"/>
    </xf>
    <xf numFmtId="0" fontId="118" fillId="0" borderId="158" xfId="0" applyFont="1" applyFill="1" applyBorder="1" applyAlignment="1">
      <alignment horizontal="center" vertical="center" wrapText="1"/>
    </xf>
    <xf numFmtId="0" fontId="118" fillId="0" borderId="67" xfId="0" applyFont="1" applyFill="1" applyBorder="1" applyAlignment="1">
      <alignment horizontal="center" vertical="center" wrapText="1"/>
    </xf>
    <xf numFmtId="0" fontId="115" fillId="0" borderId="145" xfId="0" applyFont="1" applyBorder="1" applyAlignment="1">
      <alignment horizontal="center" vertical="top" wrapText="1"/>
    </xf>
    <xf numFmtId="0" fontId="115" fillId="0" borderId="144" xfId="0" applyFont="1" applyBorder="1" applyAlignment="1">
      <alignment horizontal="center" vertical="top" wrapText="1"/>
    </xf>
    <xf numFmtId="0" fontId="115" fillId="0" borderId="145" xfId="0" applyFont="1" applyFill="1" applyBorder="1" applyAlignment="1">
      <alignment horizontal="center" vertical="top" wrapText="1"/>
    </xf>
    <xf numFmtId="0" fontId="115" fillId="0" borderId="151" xfId="0" applyFont="1" applyFill="1" applyBorder="1" applyAlignment="1">
      <alignment horizontal="center" vertical="top" wrapText="1"/>
    </xf>
    <xf numFmtId="0" fontId="115" fillId="0" borderId="148" xfId="0" applyFont="1" applyFill="1" applyBorder="1" applyAlignment="1">
      <alignment horizontal="center" vertical="top" wrapText="1"/>
    </xf>
    <xf numFmtId="0" fontId="104" fillId="0" borderId="130" xfId="0" applyNumberFormat="1" applyFont="1" applyFill="1" applyBorder="1" applyAlignment="1">
      <alignment horizontal="left" vertical="top" wrapText="1"/>
    </xf>
    <xf numFmtId="0" fontId="104" fillId="0" borderId="131" xfId="0" applyNumberFormat="1" applyFont="1" applyFill="1" applyBorder="1" applyAlignment="1">
      <alignment horizontal="left" vertical="top" wrapText="1"/>
    </xf>
    <xf numFmtId="0" fontId="121" fillId="0" borderId="146" xfId="0" applyFont="1" applyBorder="1" applyAlignment="1">
      <alignment horizontal="center" vertical="center"/>
    </xf>
    <xf numFmtId="0" fontId="120" fillId="0" borderId="146" xfId="0" applyFont="1" applyBorder="1" applyAlignment="1">
      <alignment horizontal="center" vertical="center" wrapText="1"/>
    </xf>
    <xf numFmtId="0" fontId="120" fillId="0" borderId="147" xfId="0" applyFont="1" applyBorder="1" applyAlignment="1">
      <alignment horizontal="center" vertical="center" wrapText="1"/>
    </xf>
    <xf numFmtId="0" fontId="104" fillId="75" borderId="149" xfId="0" applyFont="1" applyFill="1" applyBorder="1" applyAlignment="1">
      <alignment horizontal="center" vertical="center" wrapText="1"/>
    </xf>
    <xf numFmtId="0" fontId="104" fillId="75" borderId="148" xfId="0" applyFont="1" applyFill="1" applyBorder="1" applyAlignment="1">
      <alignment horizontal="center" vertical="center" wrapText="1"/>
    </xf>
    <xf numFmtId="0" fontId="105" fillId="0" borderId="149" xfId="0" applyFont="1" applyFill="1" applyBorder="1" applyAlignment="1">
      <alignment horizontal="left" vertical="center" wrapText="1"/>
    </xf>
    <xf numFmtId="0" fontId="105" fillId="0" borderId="148" xfId="0" applyFont="1" applyFill="1" applyBorder="1" applyAlignment="1">
      <alignment horizontal="left" vertical="center" wrapText="1"/>
    </xf>
    <xf numFmtId="0" fontId="105" fillId="0" borderId="149" xfId="13" applyFont="1" applyFill="1" applyBorder="1" applyAlignment="1" applyProtection="1">
      <alignment horizontal="left" vertical="top" wrapText="1"/>
      <protection locked="0"/>
    </xf>
    <xf numFmtId="0" fontId="105" fillId="0" borderId="148" xfId="13" applyFont="1" applyFill="1" applyBorder="1" applyAlignment="1" applyProtection="1">
      <alignment horizontal="left" vertical="top" wrapText="1"/>
      <protection locked="0"/>
    </xf>
    <xf numFmtId="0" fontId="154" fillId="0" borderId="149" xfId="13" applyFont="1" applyFill="1" applyBorder="1" applyAlignment="1" applyProtection="1">
      <alignment horizontal="left" vertical="top" wrapText="1"/>
      <protection locked="0"/>
    </xf>
    <xf numFmtId="0" fontId="154" fillId="0" borderId="148" xfId="13" applyFont="1" applyFill="1" applyBorder="1" applyAlignment="1" applyProtection="1">
      <alignment horizontal="left" vertical="top" wrapText="1"/>
      <protection locked="0"/>
    </xf>
    <xf numFmtId="0" fontId="105" fillId="0" borderId="149" xfId="0" applyNumberFormat="1" applyFont="1" applyFill="1" applyBorder="1" applyAlignment="1">
      <alignment horizontal="left" vertical="center" wrapText="1"/>
    </xf>
    <xf numFmtId="0" fontId="105" fillId="0" borderId="148" xfId="0" applyNumberFormat="1" applyFont="1" applyFill="1" applyBorder="1" applyAlignment="1">
      <alignment horizontal="left" vertical="center" wrapText="1"/>
    </xf>
    <xf numFmtId="0" fontId="105" fillId="0" borderId="149" xfId="0" applyNumberFormat="1" applyFont="1" applyFill="1" applyBorder="1" applyAlignment="1">
      <alignment horizontal="left" vertical="top" wrapText="1"/>
    </xf>
    <xf numFmtId="0" fontId="105" fillId="0" borderId="148" xfId="0" applyNumberFormat="1" applyFont="1" applyFill="1" applyBorder="1" applyAlignment="1">
      <alignment horizontal="left" vertical="top" wrapText="1"/>
    </xf>
    <xf numFmtId="49" fontId="105" fillId="0" borderId="0" xfId="0" applyNumberFormat="1" applyFont="1" applyFill="1" applyBorder="1" applyAlignment="1">
      <alignment horizontal="center" vertical="center"/>
    </xf>
    <xf numFmtId="0" fontId="105" fillId="0" borderId="146" xfId="0" applyFont="1" applyFill="1" applyBorder="1" applyAlignment="1">
      <alignment horizontal="left" vertical="top" wrapText="1"/>
    </xf>
    <xf numFmtId="0" fontId="105" fillId="0" borderId="149" xfId="0" applyFont="1" applyFill="1" applyBorder="1" applyAlignment="1">
      <alignment horizontal="left" vertical="top" wrapText="1"/>
    </xf>
    <xf numFmtId="0" fontId="105" fillId="0" borderId="146" xfId="0" applyFont="1" applyFill="1" applyBorder="1" applyAlignment="1">
      <alignment horizontal="left" vertical="center" wrapText="1"/>
    </xf>
    <xf numFmtId="0" fontId="104" fillId="75" borderId="146" xfId="0" applyFont="1" applyFill="1" applyBorder="1" applyAlignment="1">
      <alignment horizontal="center" vertical="center" wrapText="1"/>
    </xf>
    <xf numFmtId="0" fontId="105" fillId="0" borderId="146" xfId="0" applyNumberFormat="1" applyFont="1" applyFill="1" applyBorder="1" applyAlignment="1">
      <alignment horizontal="left" vertical="top" wrapText="1"/>
    </xf>
    <xf numFmtId="0" fontId="105" fillId="0" borderId="146" xfId="0" applyFont="1" applyBorder="1" applyAlignment="1">
      <alignment horizontal="center"/>
    </xf>
    <xf numFmtId="0" fontId="105" fillId="0" borderId="98" xfId="0" applyFont="1" applyFill="1" applyBorder="1" applyAlignment="1">
      <alignment horizontal="left" vertical="center" wrapText="1"/>
    </xf>
    <xf numFmtId="0" fontId="105" fillId="0" borderId="96" xfId="0" applyFont="1" applyFill="1" applyBorder="1" applyAlignment="1">
      <alignment horizontal="left" vertical="center" wrapText="1"/>
    </xf>
    <xf numFmtId="0" fontId="104" fillId="0" borderId="146" xfId="0" applyFont="1" applyFill="1" applyBorder="1" applyAlignment="1">
      <alignment horizontal="center" vertical="center"/>
    </xf>
    <xf numFmtId="0" fontId="105" fillId="3" borderId="149" xfId="13" applyFont="1" applyFill="1" applyBorder="1" applyAlignment="1" applyProtection="1">
      <alignment horizontal="left" vertical="top" wrapText="1"/>
      <protection locked="0"/>
    </xf>
    <xf numFmtId="0" fontId="105" fillId="3" borderId="148" xfId="13" applyFont="1" applyFill="1" applyBorder="1" applyAlignment="1" applyProtection="1">
      <alignment horizontal="left" vertical="top" wrapText="1"/>
      <protection locked="0"/>
    </xf>
    <xf numFmtId="0" fontId="104" fillId="0" borderId="83" xfId="0" applyFont="1" applyFill="1" applyBorder="1" applyAlignment="1">
      <alignment horizontal="center" vertical="center"/>
    </xf>
    <xf numFmtId="0" fontId="104" fillId="75" borderId="80" xfId="0" applyFont="1" applyFill="1" applyBorder="1" applyAlignment="1">
      <alignment horizontal="center" vertical="center" wrapText="1"/>
    </xf>
    <xf numFmtId="0" fontId="104" fillId="75" borderId="0" xfId="0" applyFont="1" applyFill="1" applyBorder="1" applyAlignment="1">
      <alignment horizontal="center" vertical="center" wrapText="1"/>
    </xf>
    <xf numFmtId="0" fontId="104" fillId="75" borderId="81" xfId="0" applyFont="1" applyFill="1" applyBorder="1" applyAlignment="1">
      <alignment horizontal="center" vertical="center" wrapText="1"/>
    </xf>
    <xf numFmtId="0" fontId="105" fillId="0" borderId="98" xfId="0" applyFont="1" applyFill="1" applyBorder="1" applyAlignment="1">
      <alignment vertical="center" wrapText="1"/>
    </xf>
    <xf numFmtId="0" fontId="105" fillId="0" borderId="96" xfId="0" applyFont="1" applyFill="1" applyBorder="1" applyAlignment="1">
      <alignment vertical="center" wrapText="1"/>
    </xf>
    <xf numFmtId="0" fontId="104" fillId="75" borderId="85" xfId="0" applyFont="1" applyFill="1" applyBorder="1" applyAlignment="1">
      <alignment horizontal="center" vertical="center"/>
    </xf>
    <xf numFmtId="0" fontId="104" fillId="75" borderId="86" xfId="0" applyFont="1" applyFill="1" applyBorder="1" applyAlignment="1">
      <alignment horizontal="center" vertical="center"/>
    </xf>
    <xf numFmtId="0" fontId="104" fillId="75" borderId="87" xfId="0" applyFont="1" applyFill="1" applyBorder="1" applyAlignment="1">
      <alignment horizontal="center" vertical="center"/>
    </xf>
    <xf numFmtId="0" fontId="105" fillId="3" borderId="98" xfId="0" applyFont="1" applyFill="1" applyBorder="1" applyAlignment="1">
      <alignment horizontal="left" vertical="center" wrapText="1"/>
    </xf>
    <xf numFmtId="0" fontId="105" fillId="3" borderId="96" xfId="0" applyFont="1" applyFill="1" applyBorder="1" applyAlignment="1">
      <alignment horizontal="left" vertical="center" wrapText="1"/>
    </xf>
    <xf numFmtId="0" fontId="105" fillId="0" borderId="75" xfId="0" applyFont="1" applyFill="1" applyBorder="1" applyAlignment="1">
      <alignment horizontal="left" vertical="center" wrapText="1"/>
    </xf>
    <xf numFmtId="0" fontId="105" fillId="0" borderId="76" xfId="0" applyFont="1" applyFill="1" applyBorder="1" applyAlignment="1">
      <alignment horizontal="left" vertical="center" wrapText="1"/>
    </xf>
    <xf numFmtId="0" fontId="104" fillId="75" borderId="71" xfId="0" applyFont="1" applyFill="1" applyBorder="1" applyAlignment="1">
      <alignment horizontal="center" vertical="center" wrapText="1"/>
    </xf>
    <xf numFmtId="0" fontId="104" fillId="75" borderId="72" xfId="0" applyFont="1" applyFill="1" applyBorder="1" applyAlignment="1">
      <alignment horizontal="center" vertical="center" wrapText="1"/>
    </xf>
    <xf numFmtId="0" fontId="104" fillId="75" borderId="73" xfId="0" applyFont="1" applyFill="1" applyBorder="1" applyAlignment="1">
      <alignment horizontal="center" vertical="center" wrapText="1"/>
    </xf>
    <xf numFmtId="0" fontId="105" fillId="0" borderId="51" xfId="0" applyFont="1" applyFill="1" applyBorder="1" applyAlignment="1">
      <alignment horizontal="left" vertical="center" wrapText="1"/>
    </xf>
    <xf numFmtId="0" fontId="105" fillId="0" borderId="11" xfId="0" applyFont="1" applyFill="1" applyBorder="1" applyAlignment="1">
      <alignment horizontal="left" vertical="center" wrapText="1"/>
    </xf>
    <xf numFmtId="0" fontId="154" fillId="3" borderId="98" xfId="0" applyFont="1" applyFill="1" applyBorder="1" applyAlignment="1">
      <alignment horizontal="left" vertical="center" wrapText="1"/>
    </xf>
    <xf numFmtId="0" fontId="154" fillId="3" borderId="96" xfId="0" applyFont="1" applyFill="1" applyBorder="1" applyAlignment="1">
      <alignment horizontal="left" vertical="center" wrapText="1"/>
    </xf>
    <xf numFmtId="0" fontId="105" fillId="0" borderId="139" xfId="0" applyFont="1" applyFill="1" applyBorder="1" applyAlignment="1">
      <alignment horizontal="left" vertical="center" wrapText="1"/>
    </xf>
    <xf numFmtId="0" fontId="105" fillId="0" borderId="140" xfId="0" applyFont="1" applyFill="1" applyBorder="1" applyAlignment="1">
      <alignment horizontal="left" vertical="center" wrapText="1"/>
    </xf>
    <xf numFmtId="0" fontId="105" fillId="0" borderId="141" xfId="0" applyFont="1" applyFill="1" applyBorder="1" applyAlignment="1">
      <alignment horizontal="left" vertical="center" wrapText="1"/>
    </xf>
    <xf numFmtId="0" fontId="105" fillId="3" borderId="75" xfId="0" applyFont="1" applyFill="1" applyBorder="1" applyAlignment="1">
      <alignment horizontal="left" vertical="center" wrapText="1"/>
    </xf>
    <xf numFmtId="0" fontId="105" fillId="3" borderId="76" xfId="0" applyFont="1" applyFill="1" applyBorder="1" applyAlignment="1">
      <alignment horizontal="left" vertical="center" wrapText="1"/>
    </xf>
    <xf numFmtId="0" fontId="105" fillId="0" borderId="78" xfId="0" applyFont="1" applyFill="1" applyBorder="1" applyAlignment="1">
      <alignment horizontal="left" vertical="center" wrapText="1"/>
    </xf>
    <xf numFmtId="0" fontId="105" fillId="0" borderId="79" xfId="0" applyFont="1" applyFill="1" applyBorder="1" applyAlignment="1">
      <alignment horizontal="left" vertical="center" wrapText="1"/>
    </xf>
    <xf numFmtId="0" fontId="105" fillId="0" borderId="51" xfId="0" applyFont="1" applyFill="1" applyBorder="1" applyAlignment="1">
      <alignment vertical="center" wrapText="1"/>
    </xf>
    <xf numFmtId="0" fontId="105" fillId="0" borderId="11" xfId="0" applyFont="1" applyFill="1" applyBorder="1" applyAlignment="1">
      <alignment vertical="center" wrapText="1"/>
    </xf>
    <xf numFmtId="0" fontId="105" fillId="3" borderId="98" xfId="0" applyFont="1" applyFill="1" applyBorder="1" applyAlignment="1">
      <alignment vertical="center" wrapText="1"/>
    </xf>
    <xf numFmtId="0" fontId="105" fillId="3" borderId="96" xfId="0" applyFont="1" applyFill="1" applyBorder="1" applyAlignment="1">
      <alignment vertical="center" wrapText="1"/>
    </xf>
    <xf numFmtId="0" fontId="104" fillId="0" borderId="68" xfId="0" applyFont="1" applyFill="1" applyBorder="1" applyAlignment="1">
      <alignment horizontal="center" vertical="center"/>
    </xf>
    <xf numFmtId="0" fontId="104" fillId="0" borderId="69" xfId="0" applyFont="1" applyFill="1" applyBorder="1" applyAlignment="1">
      <alignment horizontal="center" vertical="center"/>
    </xf>
    <xf numFmtId="0" fontId="104" fillId="0" borderId="70" xfId="0" applyFont="1" applyFill="1" applyBorder="1" applyAlignment="1">
      <alignment horizontal="center" vertical="center"/>
    </xf>
    <xf numFmtId="0" fontId="105" fillId="0" borderId="97" xfId="0" applyFont="1" applyFill="1" applyBorder="1" applyAlignment="1">
      <alignment horizontal="left" vertical="center" wrapText="1"/>
    </xf>
    <xf numFmtId="0" fontId="154" fillId="3" borderId="98" xfId="0" applyFont="1" applyFill="1" applyBorder="1" applyAlignment="1">
      <alignment vertical="center" wrapText="1"/>
    </xf>
    <xf numFmtId="0" fontId="154" fillId="3" borderId="96" xfId="0" applyFont="1" applyFill="1" applyBorder="1" applyAlignment="1">
      <alignment vertical="center" wrapText="1"/>
    </xf>
    <xf numFmtId="0" fontId="105" fillId="0" borderId="98" xfId="0" applyFont="1" applyFill="1" applyBorder="1" applyAlignment="1">
      <alignment horizontal="left"/>
    </xf>
    <xf numFmtId="0" fontId="105" fillId="0" borderId="96" xfId="0" applyFont="1" applyFill="1" applyBorder="1" applyAlignment="1">
      <alignment horizontal="left"/>
    </xf>
    <xf numFmtId="199" fontId="120" fillId="0" borderId="146" xfId="7" applyNumberFormat="1" applyFont="1" applyBorder="1"/>
    <xf numFmtId="199" fontId="138" fillId="0" borderId="0" xfId="7" applyNumberFormat="1" applyFont="1"/>
    <xf numFmtId="43" fontId="138" fillId="0" borderId="0" xfId="0" applyNumberFormat="1" applyFont="1"/>
    <xf numFmtId="167" fontId="138" fillId="0" borderId="0" xfId="0" applyNumberFormat="1" applyFont="1"/>
  </cellXfs>
  <cellStyles count="21417">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porting%20Department/Share/External%20Reporting/NBG/FSF/2025/09/FSF-BVT-MM-2025093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py%20of%20PG1_I-BBB-QQ-YYYYMMDD-From2025-Q1%20&#4315;&#4312;&#4313;&#4320;&#4317;&#4305;&#4304;&#4316;&#4313;&#4308;&#4305;&#4312;%20-%20&#4313;&#4309;&#4304;&#4320;&#4322;&#4304;&#4314;&#4323;&#4320;&#4312;%20&#4318;&#4312;&#4314;&#4304;&#4320;%203%20(&#4325;&#4304;&#4320;&#4311;&#4323;&#4314;&#4308;&#4316;&#4317;&#4309;&#4304;&#4316;&#4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Info"/>
      <sheetName val="00"/>
      <sheetName val="FSF-SOFP"/>
      <sheetName val="FSF-SOPL"/>
      <sheetName val="FSF-SOCI"/>
      <sheetName val="FSF-01"/>
      <sheetName val="FSF-02"/>
      <sheetName val="FSF-03"/>
      <sheetName val="FSF-04"/>
      <sheetName val="FSF-05"/>
      <sheetName val="FSF-06"/>
      <sheetName val="FSF-07"/>
      <sheetName val="FSF-08"/>
      <sheetName val="FSF-09"/>
      <sheetName val="FSF-10"/>
      <sheetName val="FSF-11"/>
      <sheetName val="FSF-12"/>
      <sheetName val="FSF-13"/>
      <sheetName val="FSF-14"/>
      <sheetName val="FSF 15"/>
      <sheetName val="FSF-16"/>
      <sheetName val="ROL"/>
      <sheetName val="A-D"/>
      <sheetName val="FX"/>
      <sheetName val="FXD"/>
      <sheetName val="A-CP"/>
      <sheetName val="A-L"/>
      <sheetName val="A-G"/>
      <sheetName val="A-LD"/>
      <sheetName val="LCR"/>
      <sheetName val="A"/>
      <sheetName val="A-CI"/>
      <sheetName val="A-LS"/>
      <sheetName val="SD"/>
      <sheetName val="Capital"/>
      <sheetName val="Risk Weighted Risk Exposures"/>
      <sheetName val="CR-RWA"/>
      <sheetName val="Capital Requirements"/>
      <sheetName val="HHI Buffer"/>
      <sheetName val="CCR-CVA"/>
      <sheetName val="CRA Buffer"/>
      <sheetName val="CRM"/>
      <sheetName val="CICR Buffer"/>
      <sheetName val="LR"/>
    </sheetNames>
    <sheetDataSet>
      <sheetData sheetId="0"/>
      <sheetData sheetId="1"/>
      <sheetData sheetId="2"/>
      <sheetData sheetId="3">
        <row r="10">
          <cell r="S10">
            <v>105285224.04000001</v>
          </cell>
        </row>
        <row r="21">
          <cell r="W21">
            <v>160269758.76178211</v>
          </cell>
        </row>
      </sheetData>
      <sheetData sheetId="4">
        <row r="18">
          <cell r="S18">
            <v>-389578.684534</v>
          </cell>
        </row>
      </sheetData>
      <sheetData sheetId="5"/>
      <sheetData sheetId="6"/>
      <sheetData sheetId="7"/>
      <sheetData sheetId="8"/>
      <sheetData sheetId="9"/>
      <sheetData sheetId="10"/>
      <sheetData sheetId="11"/>
      <sheetData sheetId="12"/>
      <sheetData sheetId="13"/>
      <sheetData sheetId="14"/>
      <sheetData sheetId="15"/>
      <sheetData sheetId="16"/>
      <sheetData sheetId="17">
        <row r="11">
          <cell r="D11">
            <v>26496402</v>
          </cell>
        </row>
      </sheetData>
      <sheetData sheetId="18">
        <row r="48">
          <cell r="AD48">
            <v>25703232</v>
          </cell>
        </row>
      </sheetData>
      <sheetData sheetId="19"/>
      <sheetData sheetId="20"/>
      <sheetData sheetId="21"/>
      <sheetData sheetId="22"/>
      <sheetData sheetId="23"/>
      <sheetData sheetId="24"/>
      <sheetData sheetId="25"/>
      <sheetData sheetId="26"/>
      <sheetData sheetId="27"/>
      <sheetData sheetId="28"/>
      <sheetData sheetId="29"/>
      <sheetData sheetId="30">
        <row r="41">
          <cell r="N41">
            <v>194481822.64520001</v>
          </cell>
        </row>
      </sheetData>
      <sheetData sheetId="31"/>
      <sheetData sheetId="32"/>
      <sheetData sheetId="33"/>
      <sheetData sheetId="34"/>
      <sheetData sheetId="35">
        <row r="11">
          <cell r="D11">
            <v>492756469.31668466</v>
          </cell>
        </row>
      </sheetData>
      <sheetData sheetId="36">
        <row r="48">
          <cell r="P48">
            <v>249318764.79113826</v>
          </cell>
        </row>
        <row r="78">
          <cell r="O78">
            <v>105787.12540552828</v>
          </cell>
        </row>
      </sheetData>
      <sheetData sheetId="37"/>
      <sheetData sheetId="38">
        <row r="35">
          <cell r="D35">
            <v>114417141.59921861</v>
          </cell>
        </row>
      </sheetData>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38"/>
  <sheetViews>
    <sheetView tabSelected="1" zoomScale="80" zoomScaleNormal="80" workbookViewId="0">
      <pane xSplit="1" ySplit="7" topLeftCell="B8" activePane="bottomRight" state="frozen"/>
      <selection pane="topRight" activeCell="B1" sqref="B1"/>
      <selection pane="bottomLeft" activeCell="A8" sqref="A8"/>
      <selection pane="bottomRight" activeCell="C2" sqref="C2:D5"/>
    </sheetView>
  </sheetViews>
  <sheetFormatPr defaultRowHeight="15"/>
  <cols>
    <col min="1" max="1" width="10.28515625" style="2" customWidth="1"/>
    <col min="2" max="2" width="153" bestFit="1" customWidth="1"/>
    <col min="3" max="3" width="39.42578125" customWidth="1"/>
    <col min="4" max="4" width="18.85546875" customWidth="1"/>
    <col min="7" max="7" width="25" customWidth="1"/>
  </cols>
  <sheetData>
    <row r="1" spans="1:4" ht="15.75">
      <c r="A1" s="9"/>
      <c r="B1" s="105" t="s">
        <v>148</v>
      </c>
      <c r="C1" s="52"/>
    </row>
    <row r="2" spans="1:4" s="102" customFormat="1" ht="15.75">
      <c r="A2" s="146">
        <v>1</v>
      </c>
      <c r="B2" s="103" t="s">
        <v>149</v>
      </c>
      <c r="C2" s="685" t="s">
        <v>1002</v>
      </c>
      <c r="D2" s="686">
        <v>45930</v>
      </c>
    </row>
    <row r="3" spans="1:4" s="102" customFormat="1" ht="15.75">
      <c r="A3" s="146">
        <v>2</v>
      </c>
      <c r="B3" s="104" t="s">
        <v>150</v>
      </c>
      <c r="C3" s="685" t="s">
        <v>1003</v>
      </c>
      <c r="D3"/>
    </row>
    <row r="4" spans="1:4" s="102" customFormat="1" ht="15.75">
      <c r="A4" s="146">
        <v>3</v>
      </c>
      <c r="B4" s="104" t="s">
        <v>151</v>
      </c>
      <c r="C4" s="685" t="s">
        <v>1004</v>
      </c>
      <c r="D4"/>
    </row>
    <row r="5" spans="1:4" s="102" customFormat="1" ht="15.75">
      <c r="A5" s="147">
        <v>4</v>
      </c>
      <c r="B5" s="107" t="s">
        <v>152</v>
      </c>
      <c r="C5" s="685" t="s">
        <v>1005</v>
      </c>
      <c r="D5"/>
    </row>
    <row r="6" spans="1:4" s="106" customFormat="1" ht="65.25" customHeight="1">
      <c r="A6" s="814" t="s">
        <v>309</v>
      </c>
      <c r="B6" s="815"/>
      <c r="C6" s="815"/>
    </row>
    <row r="7" spans="1:4">
      <c r="A7" s="248" t="s">
        <v>240</v>
      </c>
      <c r="B7" s="249" t="s">
        <v>153</v>
      </c>
    </row>
    <row r="8" spans="1:4">
      <c r="A8" s="250">
        <v>1</v>
      </c>
      <c r="B8" s="246" t="s">
        <v>128</v>
      </c>
    </row>
    <row r="9" spans="1:4">
      <c r="A9" s="250">
        <v>2</v>
      </c>
      <c r="B9" s="246" t="s">
        <v>154</v>
      </c>
    </row>
    <row r="10" spans="1:4">
      <c r="A10" s="250">
        <v>3</v>
      </c>
      <c r="B10" s="246" t="s">
        <v>155</v>
      </c>
    </row>
    <row r="11" spans="1:4">
      <c r="A11" s="250">
        <v>4</v>
      </c>
      <c r="B11" s="246" t="s">
        <v>156</v>
      </c>
      <c r="C11" s="101"/>
    </row>
    <row r="12" spans="1:4">
      <c r="A12" s="250">
        <v>5</v>
      </c>
      <c r="B12" s="246" t="s">
        <v>96</v>
      </c>
    </row>
    <row r="13" spans="1:4">
      <c r="A13" s="250">
        <v>6</v>
      </c>
      <c r="B13" s="251" t="s">
        <v>80</v>
      </c>
    </row>
    <row r="14" spans="1:4">
      <c r="A14" s="250">
        <v>7</v>
      </c>
      <c r="B14" s="246" t="s">
        <v>157</v>
      </c>
    </row>
    <row r="15" spans="1:4">
      <c r="A15" s="250">
        <v>8</v>
      </c>
      <c r="B15" s="246" t="s">
        <v>160</v>
      </c>
    </row>
    <row r="16" spans="1:4">
      <c r="A16" s="250">
        <v>9</v>
      </c>
      <c r="B16" s="246" t="s">
        <v>74</v>
      </c>
    </row>
    <row r="17" spans="1:2">
      <c r="A17" s="252" t="s">
        <v>366</v>
      </c>
      <c r="B17" s="246" t="s">
        <v>346</v>
      </c>
    </row>
    <row r="18" spans="1:2" s="3" customFormat="1">
      <c r="A18" s="254">
        <v>9.1999999999999993</v>
      </c>
      <c r="B18" s="634" t="s">
        <v>946</v>
      </c>
    </row>
    <row r="19" spans="1:2" s="3" customFormat="1">
      <c r="A19" s="254">
        <v>9.3000000000000007</v>
      </c>
      <c r="B19" s="634" t="s">
        <v>947</v>
      </c>
    </row>
    <row r="20" spans="1:2">
      <c r="A20" s="250">
        <v>10</v>
      </c>
      <c r="B20" s="246" t="s">
        <v>161</v>
      </c>
    </row>
    <row r="21" spans="1:2">
      <c r="A21" s="250">
        <v>11</v>
      </c>
      <c r="B21" s="251" t="s">
        <v>144</v>
      </c>
    </row>
    <row r="22" spans="1:2">
      <c r="A22" s="250">
        <v>12</v>
      </c>
      <c r="B22" s="251" t="s">
        <v>141</v>
      </c>
    </row>
    <row r="23" spans="1:2">
      <c r="A23" s="250">
        <v>13</v>
      </c>
      <c r="B23" s="253" t="s">
        <v>285</v>
      </c>
    </row>
    <row r="24" spans="1:2">
      <c r="A24" s="250">
        <v>14</v>
      </c>
      <c r="B24" s="246" t="s">
        <v>339</v>
      </c>
    </row>
    <row r="25" spans="1:2">
      <c r="A25" s="254">
        <v>15</v>
      </c>
      <c r="B25" s="246" t="s">
        <v>73</v>
      </c>
    </row>
    <row r="26" spans="1:2">
      <c r="A26" s="254">
        <v>15.1</v>
      </c>
      <c r="B26" s="246" t="s">
        <v>375</v>
      </c>
    </row>
    <row r="27" spans="1:2">
      <c r="A27" s="633">
        <v>15.2</v>
      </c>
      <c r="B27" s="634" t="s">
        <v>970</v>
      </c>
    </row>
    <row r="28" spans="1:2">
      <c r="A28" s="254">
        <v>16</v>
      </c>
      <c r="B28" s="246" t="s">
        <v>422</v>
      </c>
    </row>
    <row r="29" spans="1:2">
      <c r="A29" s="254">
        <v>17</v>
      </c>
      <c r="B29" s="246" t="s">
        <v>646</v>
      </c>
    </row>
    <row r="30" spans="1:2">
      <c r="A30" s="254">
        <v>18</v>
      </c>
      <c r="B30" s="246" t="s">
        <v>906</v>
      </c>
    </row>
    <row r="31" spans="1:2">
      <c r="A31" s="254">
        <v>19</v>
      </c>
      <c r="B31" s="246" t="s">
        <v>907</v>
      </c>
    </row>
    <row r="32" spans="1:2">
      <c r="A32" s="254">
        <v>20</v>
      </c>
      <c r="B32" s="246" t="s">
        <v>908</v>
      </c>
    </row>
    <row r="33" spans="1:2">
      <c r="A33" s="254">
        <v>21</v>
      </c>
      <c r="B33" s="246" t="s">
        <v>515</v>
      </c>
    </row>
    <row r="34" spans="1:2">
      <c r="A34" s="254">
        <v>22</v>
      </c>
      <c r="B34" s="246" t="s">
        <v>909</v>
      </c>
    </row>
    <row r="35" spans="1:2" ht="25.5">
      <c r="A35" s="254">
        <v>23</v>
      </c>
      <c r="B35" s="589" t="s">
        <v>905</v>
      </c>
    </row>
    <row r="36" spans="1:2">
      <c r="A36" s="254">
        <v>24</v>
      </c>
      <c r="B36" s="246" t="s">
        <v>910</v>
      </c>
    </row>
    <row r="37" spans="1:2">
      <c r="A37" s="254">
        <v>25</v>
      </c>
      <c r="B37" s="246" t="s">
        <v>911</v>
      </c>
    </row>
    <row r="38" spans="1:2">
      <c r="A38" s="250">
        <v>26</v>
      </c>
      <c r="B38" s="246" t="s">
        <v>691</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80" zoomScaleNormal="80" workbookViewId="0">
      <pane xSplit="1" ySplit="5" topLeftCell="B6" activePane="bottomRight" state="frozen"/>
      <selection pane="topRight" activeCell="B1" sqref="B1"/>
      <selection pane="bottomLeft" activeCell="A5" sqref="A5"/>
      <selection pane="bottomRight" activeCell="C29" sqref="C29"/>
    </sheetView>
  </sheetViews>
  <sheetFormatPr defaultRowHeight="15"/>
  <cols>
    <col min="1" max="1" width="9.5703125" style="5" bestFit="1" customWidth="1"/>
    <col min="2" max="2" width="132.42578125" style="2" customWidth="1"/>
    <col min="3" max="3" width="18.42578125" style="2" customWidth="1"/>
  </cols>
  <sheetData>
    <row r="1" spans="1:6" ht="15.75">
      <c r="A1" s="17" t="s">
        <v>97</v>
      </c>
      <c r="B1" s="16" t="str">
        <f>Info!C2</f>
        <v>სს "ვითიბი ბანკი ჯორჯია"</v>
      </c>
      <c r="D1" s="2"/>
      <c r="E1" s="2"/>
      <c r="F1" s="2"/>
    </row>
    <row r="2" spans="1:6" s="21" customFormat="1" ht="15.75" customHeight="1">
      <c r="A2" s="21" t="s">
        <v>98</v>
      </c>
      <c r="B2" s="295">
        <f>'1. key ratios'!B2</f>
        <v>45930</v>
      </c>
    </row>
    <row r="3" spans="1:6" s="21" customFormat="1" ht="15.75" customHeight="1"/>
    <row r="4" spans="1:6" ht="15.75" thickBot="1">
      <c r="A4" s="5" t="s">
        <v>246</v>
      </c>
      <c r="B4" s="29" t="s">
        <v>74</v>
      </c>
    </row>
    <row r="5" spans="1:6">
      <c r="A5" s="73" t="s">
        <v>25</v>
      </c>
      <c r="B5" s="74"/>
      <c r="C5" s="75" t="s">
        <v>26</v>
      </c>
    </row>
    <row r="6" spans="1:6">
      <c r="A6" s="76">
        <v>1</v>
      </c>
      <c r="B6" s="48" t="s">
        <v>27</v>
      </c>
      <c r="C6" s="156">
        <f>SUM(C7:C11)</f>
        <v>234034495.79756331</v>
      </c>
    </row>
    <row r="7" spans="1:6">
      <c r="A7" s="76">
        <v>2</v>
      </c>
      <c r="B7" s="45" t="s">
        <v>28</v>
      </c>
      <c r="C7" s="728">
        <v>209008277</v>
      </c>
    </row>
    <row r="8" spans="1:6">
      <c r="A8" s="76">
        <v>3</v>
      </c>
      <c r="B8" s="39" t="s">
        <v>29</v>
      </c>
      <c r="C8" s="728"/>
    </row>
    <row r="9" spans="1:6">
      <c r="A9" s="76">
        <v>4</v>
      </c>
      <c r="B9" s="39" t="s">
        <v>30</v>
      </c>
      <c r="C9" s="728">
        <v>12392777</v>
      </c>
    </row>
    <row r="10" spans="1:6">
      <c r="A10" s="76">
        <v>5</v>
      </c>
      <c r="B10" s="39" t="s">
        <v>31</v>
      </c>
      <c r="C10" s="728"/>
    </row>
    <row r="11" spans="1:6">
      <c r="A11" s="76">
        <v>6</v>
      </c>
      <c r="B11" s="46" t="s">
        <v>32</v>
      </c>
      <c r="C11" s="728">
        <v>12633441.7975633</v>
      </c>
    </row>
    <row r="12" spans="1:6" s="4" customFormat="1">
      <c r="A12" s="76">
        <v>7</v>
      </c>
      <c r="B12" s="48" t="s">
        <v>33</v>
      </c>
      <c r="C12" s="729">
        <f>SUM(C13:C28)</f>
        <v>13249306.25</v>
      </c>
    </row>
    <row r="13" spans="1:6" s="4" customFormat="1">
      <c r="A13" s="76">
        <v>8</v>
      </c>
      <c r="B13" s="47" t="s">
        <v>34</v>
      </c>
      <c r="C13" s="730">
        <v>12392777</v>
      </c>
    </row>
    <row r="14" spans="1:6" s="4" customFormat="1" ht="25.5">
      <c r="A14" s="76">
        <v>9</v>
      </c>
      <c r="B14" s="40" t="s">
        <v>35</v>
      </c>
      <c r="C14" s="730"/>
    </row>
    <row r="15" spans="1:6" s="4" customFormat="1">
      <c r="A15" s="76">
        <v>10</v>
      </c>
      <c r="B15" s="41" t="s">
        <v>36</v>
      </c>
      <c r="C15" s="730">
        <v>856529.25</v>
      </c>
    </row>
    <row r="16" spans="1:6" s="4" customFormat="1">
      <c r="A16" s="76">
        <v>11</v>
      </c>
      <c r="B16" s="42" t="s">
        <v>37</v>
      </c>
      <c r="C16" s="730"/>
    </row>
    <row r="17" spans="1:3" s="4" customFormat="1">
      <c r="A17" s="76">
        <v>12</v>
      </c>
      <c r="B17" s="41" t="s">
        <v>38</v>
      </c>
      <c r="C17" s="730"/>
    </row>
    <row r="18" spans="1:3" s="4" customFormat="1">
      <c r="A18" s="76">
        <v>13</v>
      </c>
      <c r="B18" s="41" t="s">
        <v>39</v>
      </c>
      <c r="C18" s="730"/>
    </row>
    <row r="19" spans="1:3" s="4" customFormat="1">
      <c r="A19" s="76">
        <v>14</v>
      </c>
      <c r="B19" s="41" t="s">
        <v>40</v>
      </c>
      <c r="C19" s="730"/>
    </row>
    <row r="20" spans="1:3" s="4" customFormat="1" ht="25.5">
      <c r="A20" s="76">
        <v>15</v>
      </c>
      <c r="B20" s="41" t="s">
        <v>41</v>
      </c>
      <c r="C20" s="730"/>
    </row>
    <row r="21" spans="1:3" s="4" customFormat="1" ht="25.5">
      <c r="A21" s="76">
        <v>16</v>
      </c>
      <c r="B21" s="40" t="s">
        <v>42</v>
      </c>
      <c r="C21" s="730"/>
    </row>
    <row r="22" spans="1:3" s="4" customFormat="1">
      <c r="A22" s="76">
        <v>17</v>
      </c>
      <c r="B22" s="77" t="s">
        <v>43</v>
      </c>
      <c r="C22" s="730"/>
    </row>
    <row r="23" spans="1:3" s="4" customFormat="1">
      <c r="A23" s="76">
        <v>18</v>
      </c>
      <c r="B23" s="625" t="s">
        <v>694</v>
      </c>
      <c r="C23" s="730"/>
    </row>
    <row r="24" spans="1:3" s="4" customFormat="1" ht="25.5">
      <c r="A24" s="76">
        <v>19</v>
      </c>
      <c r="B24" s="40" t="s">
        <v>44</v>
      </c>
      <c r="C24" s="730"/>
    </row>
    <row r="25" spans="1:3" s="4" customFormat="1" ht="25.5">
      <c r="A25" s="76">
        <v>20</v>
      </c>
      <c r="B25" s="40" t="s">
        <v>45</v>
      </c>
      <c r="C25" s="730"/>
    </row>
    <row r="26" spans="1:3" s="4" customFormat="1" ht="25.5">
      <c r="A26" s="76">
        <v>21</v>
      </c>
      <c r="B26" s="43" t="s">
        <v>46</v>
      </c>
      <c r="C26" s="730"/>
    </row>
    <row r="27" spans="1:3" s="4" customFormat="1">
      <c r="A27" s="76">
        <v>22</v>
      </c>
      <c r="B27" s="43" t="s">
        <v>47</v>
      </c>
      <c r="C27" s="730"/>
    </row>
    <row r="28" spans="1:3" s="4" customFormat="1" ht="25.5">
      <c r="A28" s="76">
        <v>23</v>
      </c>
      <c r="B28" s="43" t="s">
        <v>48</v>
      </c>
      <c r="C28" s="730"/>
    </row>
    <row r="29" spans="1:3" s="4" customFormat="1">
      <c r="A29" s="76">
        <v>24</v>
      </c>
      <c r="B29" s="49" t="s">
        <v>22</v>
      </c>
      <c r="C29" s="729">
        <f>C6-C12</f>
        <v>220785189.54756331</v>
      </c>
    </row>
    <row r="30" spans="1:3" s="4" customFormat="1">
      <c r="A30" s="78"/>
      <c r="B30" s="44"/>
      <c r="C30" s="730"/>
    </row>
    <row r="31" spans="1:3" s="4" customFormat="1">
      <c r="A31" s="78">
        <v>25</v>
      </c>
      <c r="B31" s="49" t="s">
        <v>49</v>
      </c>
      <c r="C31" s="729">
        <f>C32+C35</f>
        <v>55386000</v>
      </c>
    </row>
    <row r="32" spans="1:3" s="4" customFormat="1">
      <c r="A32" s="78">
        <v>26</v>
      </c>
      <c r="B32" s="39" t="s">
        <v>50</v>
      </c>
      <c r="C32" s="731">
        <f>C33+C34</f>
        <v>55386000</v>
      </c>
    </row>
    <row r="33" spans="1:3" s="4" customFormat="1">
      <c r="A33" s="78">
        <v>27</v>
      </c>
      <c r="B33" s="99" t="s">
        <v>51</v>
      </c>
      <c r="C33" s="730">
        <v>55386000</v>
      </c>
    </row>
    <row r="34" spans="1:3" s="4" customFormat="1">
      <c r="A34" s="78">
        <v>28</v>
      </c>
      <c r="B34" s="99" t="s">
        <v>52</v>
      </c>
      <c r="C34" s="730"/>
    </row>
    <row r="35" spans="1:3" s="4" customFormat="1">
      <c r="A35" s="78">
        <v>29</v>
      </c>
      <c r="B35" s="39" t="s">
        <v>53</v>
      </c>
      <c r="C35" s="730"/>
    </row>
    <row r="36" spans="1:3" s="4" customFormat="1">
      <c r="A36" s="78">
        <v>30</v>
      </c>
      <c r="B36" s="49" t="s">
        <v>54</v>
      </c>
      <c r="C36" s="729">
        <f>SUM(C37:C41)</f>
        <v>0</v>
      </c>
    </row>
    <row r="37" spans="1:3" s="4" customFormat="1">
      <c r="A37" s="78">
        <v>31</v>
      </c>
      <c r="B37" s="40" t="s">
        <v>55</v>
      </c>
      <c r="C37" s="730"/>
    </row>
    <row r="38" spans="1:3" s="4" customFormat="1">
      <c r="A38" s="78">
        <v>32</v>
      </c>
      <c r="B38" s="41" t="s">
        <v>56</v>
      </c>
      <c r="C38" s="730"/>
    </row>
    <row r="39" spans="1:3" s="4" customFormat="1" ht="25.5">
      <c r="A39" s="78">
        <v>33</v>
      </c>
      <c r="B39" s="40" t="s">
        <v>57</v>
      </c>
      <c r="C39" s="730"/>
    </row>
    <row r="40" spans="1:3" s="4" customFormat="1" ht="25.5">
      <c r="A40" s="78">
        <v>34</v>
      </c>
      <c r="B40" s="40" t="s">
        <v>45</v>
      </c>
      <c r="C40" s="730"/>
    </row>
    <row r="41" spans="1:3" s="4" customFormat="1" ht="25.5">
      <c r="A41" s="78">
        <v>35</v>
      </c>
      <c r="B41" s="43" t="s">
        <v>58</v>
      </c>
      <c r="C41" s="730"/>
    </row>
    <row r="42" spans="1:3" s="4" customFormat="1">
      <c r="A42" s="78">
        <v>36</v>
      </c>
      <c r="B42" s="49" t="s">
        <v>23</v>
      </c>
      <c r="C42" s="729">
        <f>C31-C36</f>
        <v>55386000</v>
      </c>
    </row>
    <row r="43" spans="1:3" s="4" customFormat="1">
      <c r="A43" s="78"/>
      <c r="B43" s="44"/>
      <c r="C43" s="730"/>
    </row>
    <row r="44" spans="1:3" s="4" customFormat="1">
      <c r="A44" s="78">
        <v>37</v>
      </c>
      <c r="B44" s="50" t="s">
        <v>59</v>
      </c>
      <c r="C44" s="729">
        <f>SUM(C45:C47)</f>
        <v>49855319.225759998</v>
      </c>
    </row>
    <row r="45" spans="1:3" s="4" customFormat="1">
      <c r="A45" s="78">
        <v>38</v>
      </c>
      <c r="B45" s="39" t="s">
        <v>60</v>
      </c>
      <c r="C45" s="730">
        <v>49855319.225759998</v>
      </c>
    </row>
    <row r="46" spans="1:3" s="4" customFormat="1">
      <c r="A46" s="78">
        <v>39</v>
      </c>
      <c r="B46" s="39" t="s">
        <v>61</v>
      </c>
      <c r="C46" s="730"/>
    </row>
    <row r="47" spans="1:3" s="4" customFormat="1">
      <c r="A47" s="78">
        <v>40</v>
      </c>
      <c r="B47" s="626" t="s">
        <v>693</v>
      </c>
      <c r="C47" s="730"/>
    </row>
    <row r="48" spans="1:3" s="4" customFormat="1">
      <c r="A48" s="78">
        <v>41</v>
      </c>
      <c r="B48" s="50" t="s">
        <v>62</v>
      </c>
      <c r="C48" s="729">
        <f>SUM(C49:C52)</f>
        <v>0</v>
      </c>
    </row>
    <row r="49" spans="1:3" s="4" customFormat="1">
      <c r="A49" s="78">
        <v>42</v>
      </c>
      <c r="B49" s="40" t="s">
        <v>63</v>
      </c>
      <c r="C49" s="730"/>
    </row>
    <row r="50" spans="1:3" s="4" customFormat="1">
      <c r="A50" s="78">
        <v>43</v>
      </c>
      <c r="B50" s="41" t="s">
        <v>64</v>
      </c>
      <c r="C50" s="730"/>
    </row>
    <row r="51" spans="1:3" s="4" customFormat="1" ht="25.5">
      <c r="A51" s="78">
        <v>44</v>
      </c>
      <c r="B51" s="40" t="s">
        <v>65</v>
      </c>
      <c r="C51" s="730"/>
    </row>
    <row r="52" spans="1:3" s="4" customFormat="1" ht="25.5">
      <c r="A52" s="78">
        <v>45</v>
      </c>
      <c r="B52" s="40" t="s">
        <v>45</v>
      </c>
      <c r="C52" s="730"/>
    </row>
    <row r="53" spans="1:3" s="4" customFormat="1" ht="15.75" thickBot="1">
      <c r="A53" s="78">
        <v>46</v>
      </c>
      <c r="B53" s="79" t="s">
        <v>24</v>
      </c>
      <c r="C53" s="157">
        <f>C44-C48</f>
        <v>49855319.225759998</v>
      </c>
    </row>
    <row r="56" spans="1:3">
      <c r="B56" s="2" t="s">
        <v>130</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zoomScale="80" zoomScaleNormal="80" workbookViewId="0">
      <selection activeCell="C11" sqref="C11:C17"/>
    </sheetView>
  </sheetViews>
  <sheetFormatPr defaultColWidth="9.28515625" defaultRowHeight="12.75"/>
  <cols>
    <col min="1" max="1" width="10.7109375" style="204" bestFit="1" customWidth="1"/>
    <col min="2" max="2" width="59" style="204" customWidth="1"/>
    <col min="3" max="3" width="16.7109375" style="204" bestFit="1" customWidth="1"/>
    <col min="4" max="4" width="22.28515625" style="204" customWidth="1"/>
    <col min="5" max="16384" width="9.28515625" style="204"/>
  </cols>
  <sheetData>
    <row r="1" spans="1:4" ht="15">
      <c r="A1" s="17" t="s">
        <v>97</v>
      </c>
      <c r="B1" s="16" t="str">
        <f>Info!C2</f>
        <v>სს "ვითიბი ბანკი ჯორჯია"</v>
      </c>
    </row>
    <row r="2" spans="1:4" s="21" customFormat="1" ht="15.75" customHeight="1">
      <c r="A2" s="21" t="s">
        <v>98</v>
      </c>
      <c r="B2" s="295">
        <f>'1. key ratios'!B2</f>
        <v>45930</v>
      </c>
    </row>
    <row r="3" spans="1:4" s="21" customFormat="1" ht="15.75" customHeight="1"/>
    <row r="4" spans="1:4" ht="13.5" thickBot="1">
      <c r="A4" s="205" t="s">
        <v>345</v>
      </c>
      <c r="B4" s="233" t="s">
        <v>346</v>
      </c>
    </row>
    <row r="5" spans="1:4" s="234" customFormat="1">
      <c r="A5" s="845" t="s">
        <v>347</v>
      </c>
      <c r="B5" s="846"/>
      <c r="C5" s="223" t="s">
        <v>348</v>
      </c>
      <c r="D5" s="224" t="s">
        <v>349</v>
      </c>
    </row>
    <row r="6" spans="1:4" s="235" customFormat="1">
      <c r="A6" s="225">
        <v>1</v>
      </c>
      <c r="B6" s="226" t="s">
        <v>350</v>
      </c>
      <c r="C6" s="226"/>
      <c r="D6" s="227"/>
    </row>
    <row r="7" spans="1:4" s="235" customFormat="1">
      <c r="A7" s="228" t="s">
        <v>351</v>
      </c>
      <c r="B7" s="229" t="s">
        <v>352</v>
      </c>
      <c r="C7" s="261">
        <v>4.4999999999999998E-2</v>
      </c>
      <c r="D7" s="256">
        <f>C7*'5. RWA'!$C$13</f>
        <v>22174041.119250808</v>
      </c>
    </row>
    <row r="8" spans="1:4" s="235" customFormat="1">
      <c r="A8" s="228" t="s">
        <v>353</v>
      </c>
      <c r="B8" s="229" t="s">
        <v>354</v>
      </c>
      <c r="C8" s="262">
        <v>0.06</v>
      </c>
      <c r="D8" s="256">
        <f>C8*'5. RWA'!$C$13</f>
        <v>29565388.159001078</v>
      </c>
    </row>
    <row r="9" spans="1:4" s="235" customFormat="1">
      <c r="A9" s="228" t="s">
        <v>355</v>
      </c>
      <c r="B9" s="229" t="s">
        <v>356</v>
      </c>
      <c r="C9" s="262">
        <v>0.08</v>
      </c>
      <c r="D9" s="256">
        <f>C9*'5. RWA'!$C$13</f>
        <v>39420517.545334771</v>
      </c>
    </row>
    <row r="10" spans="1:4" s="235" customFormat="1">
      <c r="A10" s="225" t="s">
        <v>357</v>
      </c>
      <c r="B10" s="226" t="s">
        <v>358</v>
      </c>
      <c r="C10" s="263"/>
      <c r="D10" s="257"/>
    </row>
    <row r="11" spans="1:4" s="236" customFormat="1">
      <c r="A11" s="230" t="s">
        <v>359</v>
      </c>
      <c r="B11" s="231" t="s">
        <v>997</v>
      </c>
      <c r="C11" s="732">
        <v>2.5000000000000001E-2</v>
      </c>
      <c r="D11" s="258">
        <f>C11*'5. RWA'!$C$13</f>
        <v>12318911.732917117</v>
      </c>
    </row>
    <row r="12" spans="1:4" s="236" customFormat="1">
      <c r="A12" s="230" t="s">
        <v>360</v>
      </c>
      <c r="B12" s="231" t="s">
        <v>361</v>
      </c>
      <c r="C12" s="732">
        <v>5.0000000000000001E-3</v>
      </c>
      <c r="D12" s="258">
        <f>C12*'5. RWA'!$C$13</f>
        <v>2463782.3465834232</v>
      </c>
    </row>
    <row r="13" spans="1:4" s="236" customFormat="1">
      <c r="A13" s="230" t="s">
        <v>362</v>
      </c>
      <c r="B13" s="231" t="s">
        <v>363</v>
      </c>
      <c r="C13" s="732"/>
      <c r="D13" s="258">
        <f>C13*'5. RWA'!$C$13</f>
        <v>0</v>
      </c>
    </row>
    <row r="14" spans="1:4" s="235" customFormat="1">
      <c r="A14" s="225" t="s">
        <v>364</v>
      </c>
      <c r="B14" s="226" t="s">
        <v>409</v>
      </c>
      <c r="C14" s="733"/>
      <c r="D14" s="257"/>
    </row>
    <row r="15" spans="1:4" s="235" customFormat="1">
      <c r="A15" s="247" t="s">
        <v>367</v>
      </c>
      <c r="B15" s="231" t="s">
        <v>410</v>
      </c>
      <c r="C15" s="732">
        <v>0.15719815207679194</v>
      </c>
      <c r="D15" s="258">
        <f>C15*'5. RWA'!$C$13</f>
        <v>77460406.400467262</v>
      </c>
    </row>
    <row r="16" spans="1:4" s="235" customFormat="1">
      <c r="A16" s="247" t="s">
        <v>368</v>
      </c>
      <c r="B16" s="231" t="s">
        <v>370</v>
      </c>
      <c r="C16" s="732">
        <v>0.1714735348447558</v>
      </c>
      <c r="D16" s="258">
        <f>C16*'5. RWA'!$C$13</f>
        <v>84494693.611353368</v>
      </c>
    </row>
    <row r="17" spans="1:6" s="235" customFormat="1">
      <c r="A17" s="247" t="s">
        <v>369</v>
      </c>
      <c r="B17" s="231" t="s">
        <v>407</v>
      </c>
      <c r="C17" s="732">
        <v>0.19025693322365556</v>
      </c>
      <c r="D17" s="258">
        <f>C17*'5. RWA'!$C$13</f>
        <v>93750334.678308755</v>
      </c>
    </row>
    <row r="18" spans="1:6" s="234" customFormat="1">
      <c r="A18" s="847" t="s">
        <v>408</v>
      </c>
      <c r="B18" s="848"/>
      <c r="C18" s="265" t="s">
        <v>348</v>
      </c>
      <c r="D18" s="259" t="s">
        <v>349</v>
      </c>
    </row>
    <row r="19" spans="1:6" s="235" customFormat="1">
      <c r="A19" s="232">
        <v>4</v>
      </c>
      <c r="B19" s="231" t="s">
        <v>22</v>
      </c>
      <c r="C19" s="264">
        <f>C7+C11+C12+C13+C15</f>
        <v>0.23219815207679195</v>
      </c>
      <c r="D19" s="256">
        <f>C19*'5. RWA'!$C$13</f>
        <v>114417141.59921861</v>
      </c>
    </row>
    <row r="20" spans="1:6" s="235" customFormat="1">
      <c r="A20" s="232">
        <v>5</v>
      </c>
      <c r="B20" s="231" t="s">
        <v>75</v>
      </c>
      <c r="C20" s="264">
        <f>C8+C11+C12+C13+C16</f>
        <v>0.26147353484475577</v>
      </c>
      <c r="D20" s="256">
        <f>C20*'5. RWA'!$C$13</f>
        <v>128842775.84985498</v>
      </c>
    </row>
    <row r="21" spans="1:6" s="235" customFormat="1" ht="13.5" thickBot="1">
      <c r="A21" s="237" t="s">
        <v>365</v>
      </c>
      <c r="B21" s="238" t="s">
        <v>74</v>
      </c>
      <c r="C21" s="266">
        <f>C9+C11+C12+C13+C17</f>
        <v>0.30025693322365554</v>
      </c>
      <c r="D21" s="260">
        <f>C21*'5. RWA'!$C$13</f>
        <v>147953546.30314407</v>
      </c>
    </row>
    <row r="22" spans="1:6">
      <c r="F22" s="205"/>
    </row>
    <row r="23" spans="1:6">
      <c r="B23" s="23"/>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27"/>
  <sheetViews>
    <sheetView showGridLines="0" zoomScale="80" zoomScaleNormal="80" workbookViewId="0">
      <selection activeCell="B18" sqref="B18"/>
    </sheetView>
  </sheetViews>
  <sheetFormatPr defaultRowHeight="15"/>
  <cols>
    <col min="1" max="1" width="107.140625" bestFit="1" customWidth="1"/>
    <col min="2" max="2" width="50.85546875" bestFit="1" customWidth="1"/>
    <col min="3" max="3" width="28.140625" bestFit="1" customWidth="1"/>
    <col min="4" max="4" width="28.28515625" customWidth="1"/>
    <col min="5" max="7" width="28.140625" customWidth="1"/>
  </cols>
  <sheetData>
    <row r="1" spans="1:2">
      <c r="A1" s="595" t="s">
        <v>97</v>
      </c>
      <c r="B1" s="16"/>
    </row>
    <row r="2" spans="1:2">
      <c r="A2" s="596" t="s">
        <v>98</v>
      </c>
      <c r="B2" s="295"/>
    </row>
    <row r="3" spans="1:2">
      <c r="A3" s="597" t="s">
        <v>948</v>
      </c>
      <c r="B3" s="591" t="s">
        <v>919</v>
      </c>
    </row>
    <row r="4" spans="1:2" ht="15.75" thickBot="1"/>
    <row r="5" spans="1:2">
      <c r="A5" s="602"/>
      <c r="B5" s="603" t="s">
        <v>920</v>
      </c>
    </row>
    <row r="6" spans="1:2">
      <c r="A6" s="598" t="s">
        <v>921</v>
      </c>
      <c r="B6" s="604">
        <f>SUM(B7,B11)</f>
        <v>0</v>
      </c>
    </row>
    <row r="7" spans="1:2">
      <c r="A7" s="598" t="s">
        <v>954</v>
      </c>
      <c r="B7" s="604">
        <f>SUM(B8:B10)</f>
        <v>0</v>
      </c>
    </row>
    <row r="8" spans="1:2">
      <c r="A8" s="599" t="s">
        <v>922</v>
      </c>
      <c r="B8" s="605"/>
    </row>
    <row r="9" spans="1:2">
      <c r="A9" s="599" t="s">
        <v>923</v>
      </c>
      <c r="B9" s="605"/>
    </row>
    <row r="10" spans="1:2">
      <c r="A10" s="599" t="s">
        <v>924</v>
      </c>
      <c r="B10" s="605"/>
    </row>
    <row r="11" spans="1:2">
      <c r="A11" s="598" t="s">
        <v>925</v>
      </c>
      <c r="B11" s="604">
        <f>SUM(B12:B13)</f>
        <v>0</v>
      </c>
    </row>
    <row r="12" spans="1:2">
      <c r="A12" s="599" t="s">
        <v>955</v>
      </c>
      <c r="B12" s="605"/>
    </row>
    <row r="13" spans="1:2">
      <c r="A13" s="599" t="s">
        <v>956</v>
      </c>
      <c r="B13" s="605"/>
    </row>
    <row r="14" spans="1:2">
      <c r="A14" s="598" t="s">
        <v>926</v>
      </c>
      <c r="B14" s="604">
        <f>SUM(B15:B16)</f>
        <v>0</v>
      </c>
    </row>
    <row r="15" spans="1:2">
      <c r="A15" s="600" t="s">
        <v>927</v>
      </c>
      <c r="B15" s="605"/>
    </row>
    <row r="16" spans="1:2">
      <c r="A16" s="600" t="s">
        <v>74</v>
      </c>
      <c r="B16" s="605">
        <f>B7</f>
        <v>0</v>
      </c>
    </row>
    <row r="17" spans="1:5">
      <c r="A17" s="598" t="s">
        <v>928</v>
      </c>
      <c r="B17" s="604"/>
    </row>
    <row r="18" spans="1:5">
      <c r="A18" s="600" t="s">
        <v>929</v>
      </c>
      <c r="B18" s="605"/>
    </row>
    <row r="19" spans="1:5">
      <c r="A19" s="600" t="s">
        <v>930</v>
      </c>
      <c r="B19" s="605">
        <f>'15.1. LR'!C36</f>
        <v>0</v>
      </c>
    </row>
    <row r="20" spans="1:5">
      <c r="A20" s="598" t="s">
        <v>931</v>
      </c>
      <c r="B20" s="604"/>
    </row>
    <row r="21" spans="1:5">
      <c r="A21" s="601" t="s">
        <v>932</v>
      </c>
      <c r="B21" s="606">
        <f>IFERROR(B6/B18,0)</f>
        <v>0</v>
      </c>
    </row>
    <row r="22" spans="1:5">
      <c r="A22" s="601" t="s">
        <v>933</v>
      </c>
      <c r="B22" s="606">
        <f>IFERROR(B6/B19,0)</f>
        <v>0</v>
      </c>
    </row>
    <row r="23" spans="1:5" ht="15.75" thickBot="1">
      <c r="A23" s="607" t="s">
        <v>934</v>
      </c>
      <c r="B23" s="608">
        <f>IFERROR(B6/B14,0)</f>
        <v>0</v>
      </c>
    </row>
    <row r="24" spans="1:5" ht="16.5" customHeight="1">
      <c r="A24" s="594" t="s">
        <v>957</v>
      </c>
      <c r="B24" s="592"/>
      <c r="C24" s="592"/>
      <c r="D24" s="592"/>
      <c r="E24" s="592"/>
    </row>
    <row r="25" spans="1:5" ht="25.5" customHeight="1">
      <c r="A25" s="594" t="s">
        <v>958</v>
      </c>
    </row>
    <row r="26" spans="1:5" ht="57" customHeight="1">
      <c r="A26" s="594" t="s">
        <v>959</v>
      </c>
    </row>
    <row r="27" spans="1:5">
      <c r="A27" s="593"/>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0"/>
  <sheetViews>
    <sheetView showGridLines="0" zoomScale="80" zoomScaleNormal="80" workbookViewId="0">
      <selection activeCell="B1" sqref="B1:B2"/>
    </sheetView>
  </sheetViews>
  <sheetFormatPr defaultRowHeight="15"/>
  <cols>
    <col min="1" max="1" width="82" customWidth="1"/>
    <col min="2" max="2" width="28.140625" bestFit="1" customWidth="1"/>
    <col min="3" max="3" width="28.28515625" customWidth="1"/>
    <col min="4" max="6" width="28.140625" customWidth="1"/>
  </cols>
  <sheetData>
    <row r="1" spans="1:6">
      <c r="A1" s="595" t="s">
        <v>97</v>
      </c>
      <c r="B1" s="16"/>
      <c r="C1" s="204"/>
    </row>
    <row r="2" spans="1:6">
      <c r="A2" s="596" t="s">
        <v>98</v>
      </c>
      <c r="B2" s="295"/>
      <c r="C2" s="204"/>
    </row>
    <row r="3" spans="1:6">
      <c r="A3" s="597" t="s">
        <v>949</v>
      </c>
      <c r="B3" s="591" t="s">
        <v>919</v>
      </c>
      <c r="C3" s="204"/>
    </row>
    <row r="5" spans="1:6">
      <c r="A5" s="593"/>
    </row>
    <row r="6" spans="1:6" ht="15.75" thickBot="1">
      <c r="A6" s="609"/>
      <c r="B6" s="609"/>
      <c r="C6" s="609"/>
      <c r="D6" s="609"/>
      <c r="E6" s="609"/>
      <c r="F6" s="609"/>
    </row>
    <row r="7" spans="1:6">
      <c r="A7" s="849"/>
      <c r="B7" s="851" t="s">
        <v>935</v>
      </c>
      <c r="C7" s="851"/>
      <c r="D7" s="851"/>
      <c r="E7" s="851"/>
      <c r="F7" s="852" t="s">
        <v>936</v>
      </c>
    </row>
    <row r="8" spans="1:6" ht="25.5">
      <c r="A8" s="850"/>
      <c r="B8" s="610" t="s">
        <v>937</v>
      </c>
      <c r="C8" s="610" t="s">
        <v>938</v>
      </c>
      <c r="D8" s="610" t="s">
        <v>939</v>
      </c>
      <c r="E8" s="610" t="s">
        <v>940</v>
      </c>
      <c r="F8" s="853"/>
    </row>
    <row r="9" spans="1:6" ht="25.5">
      <c r="A9" s="611" t="s">
        <v>941</v>
      </c>
      <c r="B9" s="612">
        <f>B13+B17</f>
        <v>0</v>
      </c>
      <c r="C9" s="612">
        <f t="shared" ref="C9:E9" si="0">C13+C17</f>
        <v>0</v>
      </c>
      <c r="D9" s="612">
        <f t="shared" si="0"/>
        <v>0</v>
      </c>
      <c r="E9" s="612">
        <f t="shared" si="0"/>
        <v>0</v>
      </c>
      <c r="F9" s="613">
        <f>F13+F17</f>
        <v>0</v>
      </c>
    </row>
    <row r="10" spans="1:6">
      <c r="A10" s="614" t="s">
        <v>942</v>
      </c>
      <c r="B10" s="615">
        <f t="shared" ref="B10:E12" si="1">B14+B18</f>
        <v>0</v>
      </c>
      <c r="C10" s="615">
        <f t="shared" si="1"/>
        <v>0</v>
      </c>
      <c r="D10" s="615">
        <f t="shared" si="1"/>
        <v>0</v>
      </c>
      <c r="E10" s="615">
        <f t="shared" si="1"/>
        <v>0</v>
      </c>
      <c r="F10" s="613">
        <f>SUM(B10:E10)</f>
        <v>0</v>
      </c>
    </row>
    <row r="11" spans="1:6">
      <c r="A11" s="614" t="s">
        <v>943</v>
      </c>
      <c r="B11" s="615">
        <f t="shared" si="1"/>
        <v>0</v>
      </c>
      <c r="C11" s="615">
        <f t="shared" si="1"/>
        <v>0</v>
      </c>
      <c r="D11" s="615">
        <f t="shared" si="1"/>
        <v>0</v>
      </c>
      <c r="E11" s="615">
        <f t="shared" si="1"/>
        <v>0</v>
      </c>
      <c r="F11" s="613">
        <f t="shared" ref="F11:F12" si="2">SUM(B11:E11)</f>
        <v>0</v>
      </c>
    </row>
    <row r="12" spans="1:6">
      <c r="A12" s="616" t="s">
        <v>944</v>
      </c>
      <c r="B12" s="615">
        <f t="shared" si="1"/>
        <v>0</v>
      </c>
      <c r="C12" s="615">
        <f t="shared" si="1"/>
        <v>0</v>
      </c>
      <c r="D12" s="615">
        <f t="shared" si="1"/>
        <v>0</v>
      </c>
      <c r="E12" s="615">
        <f t="shared" si="1"/>
        <v>0</v>
      </c>
      <c r="F12" s="613">
        <f t="shared" si="2"/>
        <v>0</v>
      </c>
    </row>
    <row r="13" spans="1:6">
      <c r="A13" s="617" t="s">
        <v>945</v>
      </c>
      <c r="B13" s="618"/>
      <c r="C13" s="618"/>
      <c r="D13" s="618"/>
      <c r="E13" s="618"/>
      <c r="F13" s="619"/>
    </row>
    <row r="14" spans="1:6">
      <c r="A14" s="614" t="s">
        <v>942</v>
      </c>
      <c r="B14" s="620"/>
      <c r="C14" s="620"/>
      <c r="D14" s="620"/>
      <c r="E14" s="620"/>
      <c r="F14" s="621"/>
    </row>
    <row r="15" spans="1:6">
      <c r="A15" s="614" t="s">
        <v>943</v>
      </c>
      <c r="B15" s="620"/>
      <c r="C15" s="620"/>
      <c r="D15" s="620"/>
      <c r="E15" s="620"/>
      <c r="F15" s="621"/>
    </row>
    <row r="16" spans="1:6">
      <c r="A16" s="616" t="s">
        <v>944</v>
      </c>
      <c r="B16" s="620"/>
      <c r="C16" s="620"/>
      <c r="D16" s="620"/>
      <c r="E16" s="620"/>
      <c r="F16" s="621"/>
    </row>
    <row r="17" spans="1:6">
      <c r="A17" s="617" t="s">
        <v>925</v>
      </c>
      <c r="B17" s="618"/>
      <c r="C17" s="618"/>
      <c r="D17" s="618"/>
      <c r="E17" s="618"/>
      <c r="F17" s="621"/>
    </row>
    <row r="18" spans="1:6">
      <c r="A18" s="614" t="s">
        <v>942</v>
      </c>
      <c r="B18" s="620"/>
      <c r="C18" s="620"/>
      <c r="D18" s="620"/>
      <c r="E18" s="620"/>
      <c r="F18" s="621"/>
    </row>
    <row r="19" spans="1:6">
      <c r="A19" s="614" t="s">
        <v>943</v>
      </c>
      <c r="B19" s="620"/>
      <c r="C19" s="620"/>
      <c r="D19" s="620"/>
      <c r="E19" s="620"/>
      <c r="F19" s="621"/>
    </row>
    <row r="20" spans="1:6" ht="15.75" thickBot="1">
      <c r="A20" s="622" t="s">
        <v>944</v>
      </c>
      <c r="B20" s="623"/>
      <c r="C20" s="623"/>
      <c r="D20" s="623"/>
      <c r="E20" s="623"/>
      <c r="F20" s="624"/>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zoomScale="80" zoomScaleNormal="80" workbookViewId="0">
      <pane xSplit="1" ySplit="5" topLeftCell="B50" activePane="bottomRight" state="frozen"/>
      <selection pane="topRight" activeCell="B1" sqref="B1"/>
      <selection pane="bottomLeft" activeCell="A5" sqref="A5"/>
      <selection pane="bottomRight" activeCell="E68" sqref="E68"/>
    </sheetView>
  </sheetViews>
  <sheetFormatPr defaultRowHeight="15.75"/>
  <cols>
    <col min="1" max="1" width="10.7109375" style="36" customWidth="1"/>
    <col min="2" max="2" width="91.7109375" style="36" customWidth="1"/>
    <col min="3" max="3" width="53.28515625" style="36" customWidth="1"/>
    <col min="4" max="4" width="32.28515625" style="36" customWidth="1"/>
    <col min="5" max="5" width="9.42578125" customWidth="1"/>
  </cols>
  <sheetData>
    <row r="1" spans="1:6">
      <c r="A1" s="17" t="s">
        <v>97</v>
      </c>
      <c r="B1" s="19" t="str">
        <f>Info!C2</f>
        <v>სს "ვითიბი ბანკი ჯორჯია"</v>
      </c>
      <c r="E1" s="2"/>
      <c r="F1" s="2"/>
    </row>
    <row r="2" spans="1:6" s="21" customFormat="1" ht="15.75" customHeight="1">
      <c r="A2" s="21" t="s">
        <v>98</v>
      </c>
      <c r="B2" s="295">
        <f>'1. key ratios'!B2</f>
        <v>45930</v>
      </c>
    </row>
    <row r="3" spans="1:6" s="21" customFormat="1" ht="15.75" customHeight="1">
      <c r="A3" s="25"/>
    </row>
    <row r="4" spans="1:6" s="21" customFormat="1" ht="15.75" customHeight="1" thickBot="1">
      <c r="A4" s="21" t="s">
        <v>247</v>
      </c>
      <c r="B4" s="122" t="s">
        <v>161</v>
      </c>
      <c r="D4" s="124" t="s">
        <v>76</v>
      </c>
    </row>
    <row r="5" spans="1:6" ht="25.5">
      <c r="A5" s="85" t="s">
        <v>25</v>
      </c>
      <c r="B5" s="86" t="s">
        <v>133</v>
      </c>
      <c r="C5" s="87" t="s">
        <v>826</v>
      </c>
      <c r="D5" s="123" t="s">
        <v>162</v>
      </c>
    </row>
    <row r="6" spans="1:6">
      <c r="A6" s="408">
        <v>1</v>
      </c>
      <c r="B6" s="363" t="s">
        <v>811</v>
      </c>
      <c r="C6" s="734">
        <f>SUM(C7:C9)</f>
        <v>204592845.81150001</v>
      </c>
      <c r="D6" s="80"/>
      <c r="E6" s="7"/>
    </row>
    <row r="7" spans="1:6">
      <c r="A7" s="408">
        <v>1.1000000000000001</v>
      </c>
      <c r="B7" s="364" t="s">
        <v>85</v>
      </c>
      <c r="C7" s="735">
        <f>'2. SOFP'!E8</f>
        <v>197510224.88429999</v>
      </c>
      <c r="D7" s="81"/>
      <c r="E7" s="7"/>
    </row>
    <row r="8" spans="1:6">
      <c r="A8" s="408">
        <v>1.2</v>
      </c>
      <c r="B8" s="364" t="s">
        <v>86</v>
      </c>
      <c r="C8" s="735">
        <f>'2. SOFP'!E9</f>
        <v>351.36</v>
      </c>
      <c r="D8" s="81"/>
      <c r="E8" s="7"/>
    </row>
    <row r="9" spans="1:6">
      <c r="A9" s="408">
        <v>1.3</v>
      </c>
      <c r="B9" s="364" t="s">
        <v>87</v>
      </c>
      <c r="C9" s="735">
        <f>'2. SOFP'!E10</f>
        <v>7082269.5671999995</v>
      </c>
      <c r="D9" s="81"/>
      <c r="E9" s="7"/>
    </row>
    <row r="10" spans="1:6">
      <c r="A10" s="408">
        <v>2</v>
      </c>
      <c r="B10" s="365" t="s">
        <v>698</v>
      </c>
      <c r="C10" s="736"/>
      <c r="D10" s="81"/>
      <c r="E10" s="7"/>
    </row>
    <row r="11" spans="1:6">
      <c r="A11" s="408">
        <v>2.1</v>
      </c>
      <c r="B11" s="366" t="s">
        <v>699</v>
      </c>
      <c r="C11" s="737"/>
      <c r="D11" s="82"/>
      <c r="E11" s="8"/>
    </row>
    <row r="12" spans="1:6" ht="23.65" customHeight="1">
      <c r="A12" s="408">
        <v>3</v>
      </c>
      <c r="B12" s="367" t="s">
        <v>700</v>
      </c>
      <c r="C12" s="738"/>
      <c r="D12" s="82"/>
      <c r="E12" s="8"/>
    </row>
    <row r="13" spans="1:6" ht="22.9" customHeight="1">
      <c r="A13" s="408">
        <v>4</v>
      </c>
      <c r="B13" s="368" t="s">
        <v>701</v>
      </c>
      <c r="C13" s="738"/>
      <c r="D13" s="82"/>
      <c r="E13" s="8"/>
    </row>
    <row r="14" spans="1:6">
      <c r="A14" s="408">
        <v>5</v>
      </c>
      <c r="B14" s="368" t="s">
        <v>702</v>
      </c>
      <c r="C14" s="738">
        <f>SUM(C15:C17)</f>
        <v>54000</v>
      </c>
      <c r="D14" s="82"/>
      <c r="E14" s="8"/>
    </row>
    <row r="15" spans="1:6">
      <c r="A15" s="408">
        <v>5.0999999999999996</v>
      </c>
      <c r="B15" s="369" t="s">
        <v>703</v>
      </c>
      <c r="C15" s="739">
        <f>'2. SOFP'!E16</f>
        <v>54000</v>
      </c>
      <c r="D15" s="82"/>
      <c r="E15" s="7"/>
    </row>
    <row r="16" spans="1:6">
      <c r="A16" s="408">
        <v>5.2</v>
      </c>
      <c r="B16" s="369" t="s">
        <v>538</v>
      </c>
      <c r="C16" s="739">
        <f>'2. SOFP'!E17</f>
        <v>0</v>
      </c>
      <c r="D16" s="81"/>
      <c r="E16" s="7"/>
    </row>
    <row r="17" spans="1:5">
      <c r="A17" s="408">
        <v>5.3</v>
      </c>
      <c r="B17" s="369" t="s">
        <v>704</v>
      </c>
      <c r="C17" s="739">
        <f>'2. SOFP'!E18</f>
        <v>0</v>
      </c>
      <c r="D17" s="81"/>
      <c r="E17" s="7"/>
    </row>
    <row r="18" spans="1:5">
      <c r="A18" s="408">
        <v>6</v>
      </c>
      <c r="B18" s="367" t="s">
        <v>705</v>
      </c>
      <c r="C18" s="736">
        <f>SUM(C19:C20)</f>
        <v>133960285.86515713</v>
      </c>
      <c r="D18" s="81"/>
      <c r="E18" s="7"/>
    </row>
    <row r="19" spans="1:5">
      <c r="A19" s="408">
        <v>6.1</v>
      </c>
      <c r="B19" s="369" t="s">
        <v>538</v>
      </c>
      <c r="C19" s="737">
        <f>'2. SOFP'!E20</f>
        <v>0</v>
      </c>
      <c r="D19" s="81"/>
      <c r="E19" s="7"/>
    </row>
    <row r="20" spans="1:5">
      <c r="A20" s="408">
        <v>6.2</v>
      </c>
      <c r="B20" s="369" t="s">
        <v>704</v>
      </c>
      <c r="C20" s="737">
        <f>'2. SOFP'!E21</f>
        <v>133960285.86515713</v>
      </c>
      <c r="D20" s="81"/>
      <c r="E20" s="7"/>
    </row>
    <row r="21" spans="1:5">
      <c r="A21" s="408">
        <v>7</v>
      </c>
      <c r="B21" s="370" t="s">
        <v>706</v>
      </c>
      <c r="C21" s="738">
        <v>0</v>
      </c>
      <c r="D21" s="81"/>
      <c r="E21" s="7"/>
    </row>
    <row r="22" spans="1:5">
      <c r="A22" s="408">
        <v>8</v>
      </c>
      <c r="B22" s="371" t="s">
        <v>707</v>
      </c>
      <c r="C22" s="736"/>
      <c r="D22" s="81"/>
      <c r="E22" s="7"/>
    </row>
    <row r="23" spans="1:5">
      <c r="A23" s="408">
        <v>9</v>
      </c>
      <c r="B23" s="368" t="s">
        <v>708</v>
      </c>
      <c r="C23" s="736">
        <f>SUM(C24:C25)</f>
        <v>60494587.259999998</v>
      </c>
      <c r="D23" s="439"/>
      <c r="E23" s="7"/>
    </row>
    <row r="24" spans="1:5">
      <c r="A24" s="408">
        <v>9.1</v>
      </c>
      <c r="B24" s="372" t="s">
        <v>709</v>
      </c>
      <c r="C24" s="740">
        <f>'2. SOFP'!E25</f>
        <v>33138780.259999998</v>
      </c>
      <c r="D24" s="83"/>
      <c r="E24" s="7"/>
    </row>
    <row r="25" spans="1:5">
      <c r="A25" s="408">
        <v>9.1999999999999993</v>
      </c>
      <c r="B25" s="372" t="s">
        <v>710</v>
      </c>
      <c r="C25" s="740">
        <f>'2. SOFP'!E26</f>
        <v>27355807</v>
      </c>
      <c r="D25" s="438"/>
      <c r="E25" s="6"/>
    </row>
    <row r="26" spans="1:5">
      <c r="A26" s="408">
        <v>10</v>
      </c>
      <c r="B26" s="368" t="s">
        <v>36</v>
      </c>
      <c r="C26" s="736">
        <f>SUM(C27:C28)</f>
        <v>856529.25</v>
      </c>
      <c r="D26" s="588" t="s">
        <v>903</v>
      </c>
      <c r="E26" s="7"/>
    </row>
    <row r="27" spans="1:5">
      <c r="A27" s="408">
        <v>10.1</v>
      </c>
      <c r="B27" s="372" t="s">
        <v>711</v>
      </c>
      <c r="C27" s="735">
        <v>0</v>
      </c>
      <c r="D27" s="81"/>
      <c r="E27" s="7"/>
    </row>
    <row r="28" spans="1:5">
      <c r="A28" s="408">
        <v>10.199999999999999</v>
      </c>
      <c r="B28" s="372" t="s">
        <v>712</v>
      </c>
      <c r="C28" s="735">
        <f>'2. SOFP'!E29</f>
        <v>856529.25</v>
      </c>
      <c r="D28" s="81"/>
      <c r="E28" s="7"/>
    </row>
    <row r="29" spans="1:5">
      <c r="A29" s="408">
        <v>11</v>
      </c>
      <c r="B29" s="368" t="s">
        <v>713</v>
      </c>
      <c r="C29" s="736">
        <f>SUM(C30:C31)</f>
        <v>0</v>
      </c>
      <c r="D29" s="81"/>
      <c r="E29" s="7"/>
    </row>
    <row r="30" spans="1:5">
      <c r="A30" s="408">
        <v>11.1</v>
      </c>
      <c r="B30" s="372" t="s">
        <v>714</v>
      </c>
      <c r="C30" s="735">
        <f>'2. SOFP'!E31</f>
        <v>0</v>
      </c>
      <c r="D30" s="81"/>
      <c r="E30" s="7"/>
    </row>
    <row r="31" spans="1:5">
      <c r="A31" s="408">
        <v>11.2</v>
      </c>
      <c r="B31" s="372" t="s">
        <v>715</v>
      </c>
      <c r="C31" s="735">
        <f>'2. SOFP'!E32</f>
        <v>0</v>
      </c>
      <c r="D31" s="81"/>
      <c r="E31" s="7"/>
    </row>
    <row r="32" spans="1:5">
      <c r="A32" s="408">
        <v>13</v>
      </c>
      <c r="B32" s="368" t="s">
        <v>88</v>
      </c>
      <c r="C32" s="736">
        <f>'2. SOFP'!E33</f>
        <v>42735382.451999612</v>
      </c>
      <c r="D32" s="81"/>
      <c r="E32" s="7"/>
    </row>
    <row r="33" spans="1:5">
      <c r="A33" s="408">
        <v>13.1</v>
      </c>
      <c r="B33" s="373" t="s">
        <v>716</v>
      </c>
      <c r="C33" s="735">
        <f>'2. SOFP'!E34</f>
        <v>26496402</v>
      </c>
      <c r="D33" s="81"/>
      <c r="E33" s="7"/>
    </row>
    <row r="34" spans="1:5">
      <c r="A34" s="408">
        <v>13.2</v>
      </c>
      <c r="B34" s="373" t="s">
        <v>717</v>
      </c>
      <c r="C34" s="740"/>
      <c r="D34" s="83"/>
      <c r="E34" s="7"/>
    </row>
    <row r="35" spans="1:5">
      <c r="A35" s="408">
        <v>14</v>
      </c>
      <c r="B35" s="374" t="s">
        <v>718</v>
      </c>
      <c r="C35" s="741">
        <f>SUM(C32,C29,C26,C23,C21:C22,C18,C12:C14,C10,C6)</f>
        <v>442693630.63865674</v>
      </c>
      <c r="D35" s="83"/>
      <c r="E35" s="7"/>
    </row>
    <row r="36" spans="1:5">
      <c r="A36" s="408"/>
      <c r="B36" s="375" t="s">
        <v>93</v>
      </c>
      <c r="C36" s="742"/>
      <c r="D36" s="84"/>
      <c r="E36" s="7"/>
    </row>
    <row r="37" spans="1:5">
      <c r="A37" s="408">
        <v>15</v>
      </c>
      <c r="B37" s="376" t="s">
        <v>719</v>
      </c>
      <c r="C37" s="743"/>
      <c r="D37" s="438"/>
      <c r="E37" s="6"/>
    </row>
    <row r="38" spans="1:5">
      <c r="A38" s="408">
        <v>15.1</v>
      </c>
      <c r="B38" s="379" t="s">
        <v>699</v>
      </c>
      <c r="C38" s="735"/>
      <c r="D38" s="81"/>
      <c r="E38" s="7"/>
    </row>
    <row r="39" spans="1:5" ht="21">
      <c r="A39" s="408">
        <v>16</v>
      </c>
      <c r="B39" s="370" t="s">
        <v>720</v>
      </c>
      <c r="C39" s="736"/>
      <c r="D39" s="81"/>
      <c r="E39" s="7"/>
    </row>
    <row r="40" spans="1:5">
      <c r="A40" s="408">
        <v>17</v>
      </c>
      <c r="B40" s="370" t="s">
        <v>721</v>
      </c>
      <c r="C40" s="736">
        <f>C41+C42+C43+C44</f>
        <v>12996218.512400001</v>
      </c>
      <c r="D40" s="81"/>
      <c r="E40" s="7"/>
    </row>
    <row r="41" spans="1:5">
      <c r="A41" s="408">
        <v>17.100000000000001</v>
      </c>
      <c r="B41" s="380" t="s">
        <v>722</v>
      </c>
      <c r="C41" s="735">
        <f>'2. SOFP'!E42</f>
        <v>12996218.512400001</v>
      </c>
      <c r="D41" s="81"/>
      <c r="E41" s="7"/>
    </row>
    <row r="42" spans="1:5">
      <c r="A42" s="427">
        <v>17.2</v>
      </c>
      <c r="B42" s="428" t="s">
        <v>89</v>
      </c>
      <c r="C42" s="740"/>
      <c r="D42" s="83"/>
      <c r="E42" s="7"/>
    </row>
    <row r="43" spans="1:5">
      <c r="A43" s="408">
        <v>17.3</v>
      </c>
      <c r="B43" s="429" t="s">
        <v>723</v>
      </c>
      <c r="C43" s="744"/>
      <c r="D43" s="430"/>
      <c r="E43" s="7"/>
    </row>
    <row r="44" spans="1:5">
      <c r="A44" s="408">
        <v>17.399999999999999</v>
      </c>
      <c r="B44" s="429" t="s">
        <v>724</v>
      </c>
      <c r="C44" s="744"/>
      <c r="D44" s="430"/>
      <c r="E44" s="7"/>
    </row>
    <row r="45" spans="1:5">
      <c r="A45" s="408">
        <v>18</v>
      </c>
      <c r="B45" s="431" t="s">
        <v>725</v>
      </c>
      <c r="C45" s="745">
        <f>'2. SOFP'!E46</f>
        <v>7958.6608015558977</v>
      </c>
      <c r="D45" s="437"/>
      <c r="E45" s="6"/>
    </row>
    <row r="46" spans="1:5">
      <c r="A46" s="408">
        <v>19</v>
      </c>
      <c r="B46" s="431" t="s">
        <v>726</v>
      </c>
      <c r="C46" s="745">
        <f>'2. SOFP'!E47</f>
        <v>58240</v>
      </c>
      <c r="D46" s="432"/>
    </row>
    <row r="47" spans="1:5">
      <c r="A47" s="408">
        <v>19.100000000000001</v>
      </c>
      <c r="B47" s="433" t="s">
        <v>727</v>
      </c>
      <c r="C47" s="746">
        <f>'2. SOFP'!E48</f>
        <v>0</v>
      </c>
      <c r="D47" s="432"/>
    </row>
    <row r="48" spans="1:5">
      <c r="A48" s="408">
        <v>19.2</v>
      </c>
      <c r="B48" s="433" t="s">
        <v>728</v>
      </c>
      <c r="C48" s="746">
        <f>'2. SOFP'!E49</f>
        <v>58240</v>
      </c>
      <c r="D48" s="432"/>
    </row>
    <row r="49" spans="1:4">
      <c r="A49" s="408">
        <v>20</v>
      </c>
      <c r="B49" s="385" t="s">
        <v>90</v>
      </c>
      <c r="C49" s="745">
        <f>'2. SOFP'!E50</f>
        <v>121963695.57439999</v>
      </c>
      <c r="D49" s="432"/>
    </row>
    <row r="50" spans="1:4">
      <c r="A50" s="408">
        <v>21</v>
      </c>
      <c r="B50" s="386" t="s">
        <v>78</v>
      </c>
      <c r="C50" s="745">
        <f>'2. SOFP'!E51</f>
        <v>18247022.098300003</v>
      </c>
      <c r="D50" s="432"/>
    </row>
    <row r="51" spans="1:4">
      <c r="A51" s="408">
        <v>21.1</v>
      </c>
      <c r="B51" s="381" t="s">
        <v>729</v>
      </c>
      <c r="C51" s="746">
        <f>'2. SOFP'!E52</f>
        <v>1060412.6299999999</v>
      </c>
      <c r="D51" s="432"/>
    </row>
    <row r="52" spans="1:4">
      <c r="A52" s="408">
        <v>22</v>
      </c>
      <c r="B52" s="385" t="s">
        <v>730</v>
      </c>
      <c r="C52" s="747">
        <f>SUM(C49:C50,C45:C46,C39:C40,C37)</f>
        <v>153273134.84590155</v>
      </c>
      <c r="D52" s="432"/>
    </row>
    <row r="53" spans="1:4">
      <c r="A53" s="408"/>
      <c r="B53" s="387" t="s">
        <v>731</v>
      </c>
      <c r="C53" s="744"/>
      <c r="D53" s="432"/>
    </row>
    <row r="54" spans="1:4">
      <c r="A54" s="408">
        <v>23</v>
      </c>
      <c r="B54" s="385" t="s">
        <v>94</v>
      </c>
      <c r="C54" s="747">
        <f>'2. SOFP'!E55</f>
        <v>209008277</v>
      </c>
      <c r="D54" s="432"/>
    </row>
    <row r="55" spans="1:4">
      <c r="A55" s="408">
        <v>24</v>
      </c>
      <c r="B55" s="385" t="s">
        <v>732</v>
      </c>
      <c r="C55" s="747">
        <f>'2. SOFP'!E56</f>
        <v>0</v>
      </c>
      <c r="D55" s="432"/>
    </row>
    <row r="56" spans="1:4">
      <c r="A56" s="408">
        <v>25</v>
      </c>
      <c r="B56" s="388" t="s">
        <v>91</v>
      </c>
      <c r="C56" s="747">
        <f>'2. SOFP'!E57</f>
        <v>0</v>
      </c>
      <c r="D56" s="432"/>
    </row>
    <row r="57" spans="1:4">
      <c r="A57" s="408">
        <v>26</v>
      </c>
      <c r="B57" s="431" t="s">
        <v>733</v>
      </c>
      <c r="C57" s="747">
        <f>'2. SOFP'!E58</f>
        <v>0</v>
      </c>
      <c r="D57" s="432"/>
    </row>
    <row r="58" spans="1:4">
      <c r="A58" s="408">
        <v>27</v>
      </c>
      <c r="B58" s="431" t="s">
        <v>734</v>
      </c>
      <c r="C58" s="747">
        <f>'2. SOFP'!E59</f>
        <v>55386000</v>
      </c>
      <c r="D58" s="432"/>
    </row>
    <row r="59" spans="1:4">
      <c r="A59" s="408">
        <v>27.1</v>
      </c>
      <c r="B59" s="434" t="s">
        <v>735</v>
      </c>
      <c r="C59" s="744"/>
      <c r="D59" s="432"/>
    </row>
    <row r="60" spans="1:4">
      <c r="A60" s="408">
        <v>27.2</v>
      </c>
      <c r="B60" s="429" t="s">
        <v>736</v>
      </c>
      <c r="C60" s="744">
        <f>'2. SOFP'!E59</f>
        <v>55386000</v>
      </c>
      <c r="D60" s="432"/>
    </row>
    <row r="61" spans="1:4">
      <c r="A61" s="408">
        <v>28</v>
      </c>
      <c r="B61" s="386" t="s">
        <v>737</v>
      </c>
      <c r="C61" s="747">
        <v>0</v>
      </c>
      <c r="D61" s="432"/>
    </row>
    <row r="62" spans="1:4">
      <c r="A62" s="408">
        <v>29</v>
      </c>
      <c r="B62" s="431" t="s">
        <v>738</v>
      </c>
      <c r="C62" s="747">
        <f>SUM(C63:C65)</f>
        <v>12392777</v>
      </c>
      <c r="D62" s="432"/>
    </row>
    <row r="63" spans="1:4">
      <c r="A63" s="408">
        <v>29.1</v>
      </c>
      <c r="B63" s="435" t="s">
        <v>739</v>
      </c>
      <c r="C63" s="744">
        <f>'2. SOFP'!E64</f>
        <v>12392777</v>
      </c>
      <c r="D63" s="432"/>
    </row>
    <row r="64" spans="1:4" ht="24" customHeight="1">
      <c r="A64" s="408">
        <v>29.2</v>
      </c>
      <c r="B64" s="434" t="s">
        <v>740</v>
      </c>
      <c r="C64" s="744">
        <f>'2. SOFP'!E65</f>
        <v>0</v>
      </c>
      <c r="D64" s="432"/>
    </row>
    <row r="65" spans="1:4" ht="22.15" customHeight="1">
      <c r="A65" s="408">
        <v>29.3</v>
      </c>
      <c r="B65" s="436" t="s">
        <v>741</v>
      </c>
      <c r="C65" s="744">
        <f>'2. SOFP'!E66</f>
        <v>0</v>
      </c>
      <c r="D65" s="432"/>
    </row>
    <row r="66" spans="1:4">
      <c r="A66" s="408">
        <v>30</v>
      </c>
      <c r="B66" s="391" t="s">
        <v>92</v>
      </c>
      <c r="C66" s="747">
        <f>'2. SOFP'!E67</f>
        <v>12633441.7975633</v>
      </c>
      <c r="D66" s="432"/>
    </row>
    <row r="67" spans="1:4">
      <c r="A67" s="408">
        <v>31</v>
      </c>
      <c r="B67" s="390" t="s">
        <v>742</v>
      </c>
      <c r="C67" s="747">
        <f>SUM(C54:C58,C61:C62,C66)</f>
        <v>289420495.79756331</v>
      </c>
      <c r="D67" s="432"/>
    </row>
    <row r="68" spans="1:4">
      <c r="A68" s="408">
        <v>32</v>
      </c>
      <c r="B68" s="391" t="s">
        <v>743</v>
      </c>
      <c r="C68" s="747">
        <f>C67+C52</f>
        <v>442693630.64346486</v>
      </c>
      <c r="D68" s="432"/>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3"/>
  <sheetViews>
    <sheetView zoomScale="70" zoomScaleNormal="70" workbookViewId="0">
      <pane xSplit="2" ySplit="7" topLeftCell="M8" activePane="bottomRight" state="frozen"/>
      <selection pane="topRight" activeCell="C1" sqref="C1"/>
      <selection pane="bottomLeft" activeCell="A8" sqref="A8"/>
      <selection pane="bottomRight" activeCell="N14" sqref="N14"/>
    </sheetView>
  </sheetViews>
  <sheetFormatPr defaultColWidth="9.28515625" defaultRowHeight="12.75"/>
  <cols>
    <col min="1" max="1" width="10.5703125" style="2" bestFit="1" customWidth="1"/>
    <col min="2" max="2" width="97" style="2" bestFit="1" customWidth="1"/>
    <col min="3" max="3" width="9.42578125" style="2" bestFit="1" customWidth="1"/>
    <col min="4" max="4" width="13.28515625" style="2" bestFit="1" customWidth="1"/>
    <col min="5" max="5" width="9.42578125" style="2" bestFit="1" customWidth="1"/>
    <col min="6" max="6" width="13.28515625" style="2" bestFit="1" customWidth="1"/>
    <col min="7" max="7" width="9.42578125" style="2" bestFit="1" customWidth="1"/>
    <col min="8" max="8" width="13.28515625" style="2" bestFit="1" customWidth="1"/>
    <col min="9" max="9" width="9.42578125" style="2" bestFit="1" customWidth="1"/>
    <col min="10" max="10" width="13.28515625" style="2" bestFit="1" customWidth="1"/>
    <col min="11" max="11" width="9.42578125" style="2" bestFit="1" customWidth="1"/>
    <col min="12" max="12" width="13.28515625" style="2" bestFit="1" customWidth="1"/>
    <col min="13" max="13" width="9.42578125" style="2" bestFit="1"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28515625" style="12"/>
  </cols>
  <sheetData>
    <row r="1" spans="1:19">
      <c r="A1" s="2" t="s">
        <v>97</v>
      </c>
      <c r="B1" s="204" t="str">
        <f>Info!C2</f>
        <v>სს "ვითიბი ბანკი ჯორჯია"</v>
      </c>
    </row>
    <row r="2" spans="1:19">
      <c r="A2" s="2" t="s">
        <v>98</v>
      </c>
      <c r="B2" s="295">
        <f>'1. key ratios'!B2</f>
        <v>45930</v>
      </c>
    </row>
    <row r="4" spans="1:19" ht="39" thickBot="1">
      <c r="A4" s="35" t="s">
        <v>248</v>
      </c>
      <c r="B4" s="174" t="s">
        <v>282</v>
      </c>
    </row>
    <row r="5" spans="1:19">
      <c r="A5" s="70"/>
      <c r="B5" s="72"/>
      <c r="C5" s="64" t="s">
        <v>0</v>
      </c>
      <c r="D5" s="64" t="s">
        <v>1</v>
      </c>
      <c r="E5" s="64" t="s">
        <v>2</v>
      </c>
      <c r="F5" s="64" t="s">
        <v>3</v>
      </c>
      <c r="G5" s="64" t="s">
        <v>4</v>
      </c>
      <c r="H5" s="64" t="s">
        <v>5</v>
      </c>
      <c r="I5" s="64" t="s">
        <v>134</v>
      </c>
      <c r="J5" s="64" t="s">
        <v>135</v>
      </c>
      <c r="K5" s="64" t="s">
        <v>136</v>
      </c>
      <c r="L5" s="64" t="s">
        <v>137</v>
      </c>
      <c r="M5" s="64" t="s">
        <v>138</v>
      </c>
      <c r="N5" s="64" t="s">
        <v>139</v>
      </c>
      <c r="O5" s="64" t="s">
        <v>269</v>
      </c>
      <c r="P5" s="64" t="s">
        <v>270</v>
      </c>
      <c r="Q5" s="64" t="s">
        <v>271</v>
      </c>
      <c r="R5" s="166" t="s">
        <v>272</v>
      </c>
      <c r="S5" s="65" t="s">
        <v>273</v>
      </c>
    </row>
    <row r="6" spans="1:19" ht="46.5" customHeight="1">
      <c r="A6" s="89"/>
      <c r="B6" s="858" t="s">
        <v>274</v>
      </c>
      <c r="C6" s="856">
        <v>0</v>
      </c>
      <c r="D6" s="857"/>
      <c r="E6" s="856">
        <v>0.2</v>
      </c>
      <c r="F6" s="857"/>
      <c r="G6" s="856">
        <v>0.35</v>
      </c>
      <c r="H6" s="857"/>
      <c r="I6" s="856">
        <v>0.5</v>
      </c>
      <c r="J6" s="857"/>
      <c r="K6" s="856">
        <v>0.75</v>
      </c>
      <c r="L6" s="857"/>
      <c r="M6" s="856">
        <v>1</v>
      </c>
      <c r="N6" s="857"/>
      <c r="O6" s="856">
        <v>1.5</v>
      </c>
      <c r="P6" s="857"/>
      <c r="Q6" s="856">
        <v>2.5</v>
      </c>
      <c r="R6" s="857"/>
      <c r="S6" s="854" t="s">
        <v>145</v>
      </c>
    </row>
    <row r="7" spans="1:19">
      <c r="A7" s="89"/>
      <c r="B7" s="859"/>
      <c r="C7" s="173" t="s">
        <v>267</v>
      </c>
      <c r="D7" s="173" t="s">
        <v>268</v>
      </c>
      <c r="E7" s="173" t="s">
        <v>267</v>
      </c>
      <c r="F7" s="173" t="s">
        <v>268</v>
      </c>
      <c r="G7" s="173" t="s">
        <v>267</v>
      </c>
      <c r="H7" s="173" t="s">
        <v>268</v>
      </c>
      <c r="I7" s="173" t="s">
        <v>267</v>
      </c>
      <c r="J7" s="173" t="s">
        <v>268</v>
      </c>
      <c r="K7" s="173" t="s">
        <v>267</v>
      </c>
      <c r="L7" s="173" t="s">
        <v>268</v>
      </c>
      <c r="M7" s="173" t="s">
        <v>267</v>
      </c>
      <c r="N7" s="173" t="s">
        <v>268</v>
      </c>
      <c r="O7" s="173" t="s">
        <v>267</v>
      </c>
      <c r="P7" s="173" t="s">
        <v>268</v>
      </c>
      <c r="Q7" s="173" t="s">
        <v>267</v>
      </c>
      <c r="R7" s="173" t="s">
        <v>268</v>
      </c>
      <c r="S7" s="855"/>
    </row>
    <row r="8" spans="1:19" s="92" customFormat="1">
      <c r="A8" s="68">
        <v>1</v>
      </c>
      <c r="B8" s="98" t="s">
        <v>123</v>
      </c>
      <c r="C8" s="158">
        <v>351</v>
      </c>
      <c r="D8" s="158"/>
      <c r="E8" s="158">
        <v>0</v>
      </c>
      <c r="F8" s="167"/>
      <c r="G8" s="158">
        <v>0</v>
      </c>
      <c r="H8" s="158"/>
      <c r="I8" s="158">
        <v>0</v>
      </c>
      <c r="J8" s="158"/>
      <c r="K8" s="158">
        <v>0</v>
      </c>
      <c r="L8" s="158"/>
      <c r="M8" s="158">
        <v>0</v>
      </c>
      <c r="N8" s="158"/>
      <c r="O8" s="158">
        <v>0</v>
      </c>
      <c r="P8" s="158"/>
      <c r="Q8" s="158">
        <v>0</v>
      </c>
      <c r="R8" s="167"/>
      <c r="S8" s="178">
        <f>$C$6*SUM(C8:D8)+$E$6*SUM(E8:F8)+$G$6*SUM(G8:H8)+$I$6*SUM(I8:J8)+$K$6*SUM(K8:L8)+$M$6*SUM(M8:N8)+$O$6*SUM(O8:P8)+$Q$6*SUM(Q8:R8)</f>
        <v>0</v>
      </c>
    </row>
    <row r="9" spans="1:19" s="92" customFormat="1">
      <c r="A9" s="68">
        <v>2</v>
      </c>
      <c r="B9" s="98" t="s">
        <v>124</v>
      </c>
      <c r="C9" s="158">
        <v>0</v>
      </c>
      <c r="D9" s="158"/>
      <c r="E9" s="158">
        <v>0</v>
      </c>
      <c r="F9" s="158"/>
      <c r="G9" s="158">
        <v>0</v>
      </c>
      <c r="H9" s="158"/>
      <c r="I9" s="158">
        <v>0</v>
      </c>
      <c r="J9" s="158"/>
      <c r="K9" s="158">
        <v>0</v>
      </c>
      <c r="L9" s="158"/>
      <c r="M9" s="158">
        <v>0</v>
      </c>
      <c r="N9" s="158"/>
      <c r="O9" s="158">
        <v>0</v>
      </c>
      <c r="P9" s="158"/>
      <c r="Q9" s="158">
        <v>0</v>
      </c>
      <c r="R9" s="167"/>
      <c r="S9" s="178">
        <f t="shared" ref="S9:S21" si="0">$C$6*SUM(C9:D9)+$E$6*SUM(E9:F9)+$G$6*SUM(G9:H9)+$I$6*SUM(I9:J9)+$K$6*SUM(K9:L9)+$M$6*SUM(M9:N9)+$O$6*SUM(O9:P9)+$Q$6*SUM(Q9:R9)</f>
        <v>0</v>
      </c>
    </row>
    <row r="10" spans="1:19" s="92" customFormat="1">
      <c r="A10" s="68">
        <v>3</v>
      </c>
      <c r="B10" s="98" t="s">
        <v>125</v>
      </c>
      <c r="C10" s="158">
        <v>0</v>
      </c>
      <c r="D10" s="158"/>
      <c r="E10" s="158">
        <v>0</v>
      </c>
      <c r="F10" s="158"/>
      <c r="G10" s="158">
        <v>0</v>
      </c>
      <c r="H10" s="158"/>
      <c r="I10" s="158">
        <v>0</v>
      </c>
      <c r="J10" s="158"/>
      <c r="K10" s="158">
        <v>0</v>
      </c>
      <c r="L10" s="158"/>
      <c r="M10" s="158">
        <v>0</v>
      </c>
      <c r="N10" s="158"/>
      <c r="O10" s="158">
        <v>0</v>
      </c>
      <c r="P10" s="158"/>
      <c r="Q10" s="158">
        <v>0</v>
      </c>
      <c r="R10" s="167"/>
      <c r="S10" s="178">
        <f t="shared" si="0"/>
        <v>0</v>
      </c>
    </row>
    <row r="11" spans="1:19" s="92" customFormat="1">
      <c r="A11" s="68">
        <v>4</v>
      </c>
      <c r="B11" s="98" t="s">
        <v>126</v>
      </c>
      <c r="C11" s="158">
        <v>0</v>
      </c>
      <c r="D11" s="158"/>
      <c r="E11" s="158">
        <v>0</v>
      </c>
      <c r="F11" s="158"/>
      <c r="G11" s="158">
        <v>0</v>
      </c>
      <c r="H11" s="158"/>
      <c r="I11" s="158">
        <v>0</v>
      </c>
      <c r="J11" s="158"/>
      <c r="K11" s="158">
        <v>0</v>
      </c>
      <c r="L11" s="158"/>
      <c r="M11" s="158">
        <v>0</v>
      </c>
      <c r="N11" s="158"/>
      <c r="O11" s="158">
        <v>0</v>
      </c>
      <c r="P11" s="158"/>
      <c r="Q11" s="158">
        <v>0</v>
      </c>
      <c r="R11" s="167"/>
      <c r="S11" s="178">
        <f t="shared" si="0"/>
        <v>0</v>
      </c>
    </row>
    <row r="12" spans="1:19" s="92" customFormat="1">
      <c r="A12" s="68">
        <v>5</v>
      </c>
      <c r="B12" s="98" t="s">
        <v>912</v>
      </c>
      <c r="C12" s="158">
        <v>0</v>
      </c>
      <c r="D12" s="158"/>
      <c r="E12" s="158">
        <v>0</v>
      </c>
      <c r="F12" s="158"/>
      <c r="G12" s="158">
        <v>0</v>
      </c>
      <c r="H12" s="158"/>
      <c r="I12" s="158">
        <v>0</v>
      </c>
      <c r="J12" s="158"/>
      <c r="K12" s="158">
        <v>0</v>
      </c>
      <c r="L12" s="158"/>
      <c r="M12" s="158">
        <v>0</v>
      </c>
      <c r="N12" s="158"/>
      <c r="O12" s="158">
        <v>0</v>
      </c>
      <c r="P12" s="158"/>
      <c r="Q12" s="158">
        <v>0</v>
      </c>
      <c r="R12" s="167"/>
      <c r="S12" s="178">
        <f t="shared" si="0"/>
        <v>0</v>
      </c>
    </row>
    <row r="13" spans="1:19" s="92" customFormat="1">
      <c r="A13" s="68">
        <v>6</v>
      </c>
      <c r="B13" s="98" t="s">
        <v>127</v>
      </c>
      <c r="C13" s="158">
        <v>0</v>
      </c>
      <c r="D13" s="158"/>
      <c r="E13" s="158">
        <v>5619056.1971999994</v>
      </c>
      <c r="F13" s="158"/>
      <c r="G13" s="158">
        <v>0</v>
      </c>
      <c r="H13" s="158"/>
      <c r="I13" s="158">
        <v>0.43280000076629221</v>
      </c>
      <c r="J13" s="158"/>
      <c r="K13" s="158">
        <v>0</v>
      </c>
      <c r="L13" s="158"/>
      <c r="M13" s="158">
        <v>1463212.9372</v>
      </c>
      <c r="N13" s="158">
        <v>0</v>
      </c>
      <c r="O13" s="158">
        <v>0</v>
      </c>
      <c r="P13" s="158"/>
      <c r="Q13" s="158">
        <v>0</v>
      </c>
      <c r="R13" s="167"/>
      <c r="S13" s="178">
        <f t="shared" si="0"/>
        <v>2587024.3930400005</v>
      </c>
    </row>
    <row r="14" spans="1:19" s="92" customFormat="1">
      <c r="A14" s="68">
        <v>7</v>
      </c>
      <c r="B14" s="98" t="s">
        <v>71</v>
      </c>
      <c r="C14" s="158">
        <v>0</v>
      </c>
      <c r="D14" s="158">
        <v>0</v>
      </c>
      <c r="E14" s="158">
        <v>0</v>
      </c>
      <c r="F14" s="158">
        <v>0</v>
      </c>
      <c r="G14" s="158">
        <v>0</v>
      </c>
      <c r="H14" s="158"/>
      <c r="I14" s="158">
        <v>0</v>
      </c>
      <c r="J14" s="158">
        <v>0</v>
      </c>
      <c r="K14" s="158">
        <v>0</v>
      </c>
      <c r="L14" s="158"/>
      <c r="M14" s="158">
        <v>91244988.772180095</v>
      </c>
      <c r="N14" s="158">
        <v>105787</v>
      </c>
      <c r="O14" s="158">
        <v>561457.017114421</v>
      </c>
      <c r="P14" s="158">
        <v>0</v>
      </c>
      <c r="Q14" s="158">
        <v>0</v>
      </c>
      <c r="R14" s="167">
        <v>0</v>
      </c>
      <c r="S14" s="178">
        <f t="shared" si="0"/>
        <v>92192961.297851726</v>
      </c>
    </row>
    <row r="15" spans="1:19" s="92" customFormat="1">
      <c r="A15" s="68">
        <v>8</v>
      </c>
      <c r="B15" s="98" t="s">
        <v>72</v>
      </c>
      <c r="C15" s="158">
        <v>0</v>
      </c>
      <c r="D15" s="158"/>
      <c r="E15" s="158">
        <v>0</v>
      </c>
      <c r="F15" s="158"/>
      <c r="G15" s="158">
        <v>0</v>
      </c>
      <c r="H15" s="158"/>
      <c r="I15" s="158">
        <v>0</v>
      </c>
      <c r="J15" s="158"/>
      <c r="K15" s="158">
        <v>0</v>
      </c>
      <c r="L15" s="158">
        <v>0</v>
      </c>
      <c r="M15" s="158">
        <v>0</v>
      </c>
      <c r="N15" s="158">
        <v>0</v>
      </c>
      <c r="O15" s="158">
        <v>0</v>
      </c>
      <c r="P15" s="158">
        <v>0</v>
      </c>
      <c r="Q15" s="158">
        <v>0</v>
      </c>
      <c r="R15" s="167"/>
      <c r="S15" s="178">
        <f t="shared" si="0"/>
        <v>0</v>
      </c>
    </row>
    <row r="16" spans="1:19" s="92" customFormat="1">
      <c r="A16" s="68">
        <v>9</v>
      </c>
      <c r="B16" s="98" t="s">
        <v>913</v>
      </c>
      <c r="C16" s="158">
        <v>0</v>
      </c>
      <c r="D16" s="158"/>
      <c r="E16" s="158">
        <v>0</v>
      </c>
      <c r="F16" s="158"/>
      <c r="G16" s="158">
        <v>4610759.1968045691</v>
      </c>
      <c r="H16" s="158">
        <v>0</v>
      </c>
      <c r="I16" s="158">
        <v>0</v>
      </c>
      <c r="J16" s="158"/>
      <c r="K16" s="158">
        <v>0</v>
      </c>
      <c r="L16" s="158"/>
      <c r="M16" s="158">
        <v>0</v>
      </c>
      <c r="N16" s="158"/>
      <c r="O16" s="158">
        <v>0</v>
      </c>
      <c r="P16" s="158"/>
      <c r="Q16" s="158">
        <v>0</v>
      </c>
      <c r="R16" s="167"/>
      <c r="S16" s="178">
        <f t="shared" si="0"/>
        <v>1613765.7188815991</v>
      </c>
    </row>
    <row r="17" spans="1:19" s="92" customFormat="1">
      <c r="A17" s="68">
        <v>10</v>
      </c>
      <c r="B17" s="98" t="s">
        <v>67</v>
      </c>
      <c r="C17" s="158">
        <v>223500.94312484519</v>
      </c>
      <c r="D17" s="158"/>
      <c r="E17" s="158">
        <v>0</v>
      </c>
      <c r="F17" s="158"/>
      <c r="G17" s="158">
        <v>0</v>
      </c>
      <c r="H17" s="158"/>
      <c r="I17" s="158">
        <v>14900.435930818683</v>
      </c>
      <c r="J17" s="158"/>
      <c r="K17" s="158">
        <v>0</v>
      </c>
      <c r="L17" s="158"/>
      <c r="M17" s="158">
        <v>12435278.193208011</v>
      </c>
      <c r="N17" s="158"/>
      <c r="O17" s="158">
        <v>24869401.306794353</v>
      </c>
      <c r="P17" s="158"/>
      <c r="Q17" s="158">
        <v>0</v>
      </c>
      <c r="R17" s="167"/>
      <c r="S17" s="178">
        <f t="shared" si="0"/>
        <v>49746830.371364951</v>
      </c>
    </row>
    <row r="18" spans="1:19" s="92" customFormat="1">
      <c r="A18" s="68">
        <v>11</v>
      </c>
      <c r="B18" s="98" t="s">
        <v>68</v>
      </c>
      <c r="C18" s="158">
        <v>0</v>
      </c>
      <c r="D18" s="158"/>
      <c r="E18" s="158">
        <v>0</v>
      </c>
      <c r="F18" s="158"/>
      <c r="G18" s="158">
        <v>0</v>
      </c>
      <c r="H18" s="158"/>
      <c r="I18" s="158">
        <v>0</v>
      </c>
      <c r="J18" s="158"/>
      <c r="K18" s="158">
        <v>0</v>
      </c>
      <c r="L18" s="158"/>
      <c r="M18" s="158">
        <v>0</v>
      </c>
      <c r="N18" s="158"/>
      <c r="O18" s="158">
        <v>0</v>
      </c>
      <c r="P18" s="158"/>
      <c r="Q18" s="158">
        <v>0</v>
      </c>
      <c r="R18" s="167"/>
      <c r="S18" s="178">
        <f t="shared" si="0"/>
        <v>0</v>
      </c>
    </row>
    <row r="19" spans="1:19" s="92" customFormat="1">
      <c r="A19" s="68">
        <v>12</v>
      </c>
      <c r="B19" s="98" t="s">
        <v>69</v>
      </c>
      <c r="C19" s="158">
        <v>0</v>
      </c>
      <c r="D19" s="158"/>
      <c r="E19" s="158">
        <v>0</v>
      </c>
      <c r="F19" s="158"/>
      <c r="G19" s="158">
        <v>0</v>
      </c>
      <c r="H19" s="158"/>
      <c r="I19" s="158">
        <v>0</v>
      </c>
      <c r="J19" s="158"/>
      <c r="K19" s="158">
        <v>0</v>
      </c>
      <c r="L19" s="158"/>
      <c r="M19" s="158">
        <v>0</v>
      </c>
      <c r="N19" s="158"/>
      <c r="O19" s="158">
        <v>0</v>
      </c>
      <c r="P19" s="158"/>
      <c r="Q19" s="158">
        <v>0</v>
      </c>
      <c r="R19" s="167"/>
      <c r="S19" s="178">
        <f t="shared" si="0"/>
        <v>0</v>
      </c>
    </row>
    <row r="20" spans="1:19" s="92" customFormat="1">
      <c r="A20" s="68">
        <v>13</v>
      </c>
      <c r="B20" s="98" t="s">
        <v>70</v>
      </c>
      <c r="C20" s="158">
        <v>0</v>
      </c>
      <c r="D20" s="158"/>
      <c r="E20" s="158">
        <v>0</v>
      </c>
      <c r="F20" s="158"/>
      <c r="G20" s="158">
        <v>0</v>
      </c>
      <c r="H20" s="158"/>
      <c r="I20" s="158">
        <v>0</v>
      </c>
      <c r="J20" s="158"/>
      <c r="K20" s="158">
        <v>0</v>
      </c>
      <c r="L20" s="158"/>
      <c r="M20" s="158">
        <v>0</v>
      </c>
      <c r="N20" s="158"/>
      <c r="O20" s="158">
        <v>0</v>
      </c>
      <c r="P20" s="158"/>
      <c r="Q20" s="158">
        <v>0</v>
      </c>
      <c r="R20" s="167"/>
      <c r="S20" s="178">
        <f t="shared" si="0"/>
        <v>0</v>
      </c>
    </row>
    <row r="21" spans="1:19" s="92" customFormat="1">
      <c r="A21" s="68">
        <v>14</v>
      </c>
      <c r="B21" s="98" t="s">
        <v>143</v>
      </c>
      <c r="C21" s="158">
        <v>197510224.88430002</v>
      </c>
      <c r="D21" s="158"/>
      <c r="E21" s="158">
        <v>0</v>
      </c>
      <c r="F21" s="158"/>
      <c r="G21" s="158">
        <v>0</v>
      </c>
      <c r="H21" s="158"/>
      <c r="I21" s="158">
        <v>0</v>
      </c>
      <c r="J21" s="158"/>
      <c r="K21" s="158">
        <v>0</v>
      </c>
      <c r="L21" s="158"/>
      <c r="M21" s="158">
        <v>103283970.00999999</v>
      </c>
      <c r="N21" s="158"/>
      <c r="O21" s="158">
        <v>0</v>
      </c>
      <c r="P21" s="158"/>
      <c r="Q21" s="158">
        <v>0</v>
      </c>
      <c r="R21" s="167"/>
      <c r="S21" s="178">
        <f t="shared" si="0"/>
        <v>103283970.00999999</v>
      </c>
    </row>
    <row r="22" spans="1:19" ht="13.5" thickBot="1">
      <c r="A22" s="61"/>
      <c r="B22" s="94" t="s">
        <v>66</v>
      </c>
      <c r="C22" s="159">
        <f>SUM(C8:C21)</f>
        <v>197734076.82742485</v>
      </c>
      <c r="D22" s="159">
        <f t="shared" ref="D22:S22" si="1">SUM(D8:D21)</f>
        <v>0</v>
      </c>
      <c r="E22" s="159">
        <f t="shared" si="1"/>
        <v>5619056.1971999994</v>
      </c>
      <c r="F22" s="159">
        <f t="shared" si="1"/>
        <v>0</v>
      </c>
      <c r="G22" s="159">
        <f t="shared" si="1"/>
        <v>4610759.1968045691</v>
      </c>
      <c r="H22" s="159">
        <f t="shared" si="1"/>
        <v>0</v>
      </c>
      <c r="I22" s="159">
        <f t="shared" si="1"/>
        <v>14900.868730819449</v>
      </c>
      <c r="J22" s="159">
        <f t="shared" si="1"/>
        <v>0</v>
      </c>
      <c r="K22" s="159">
        <f t="shared" si="1"/>
        <v>0</v>
      </c>
      <c r="L22" s="159">
        <f t="shared" si="1"/>
        <v>0</v>
      </c>
      <c r="M22" s="159">
        <f t="shared" si="1"/>
        <v>208427449.91258809</v>
      </c>
      <c r="N22" s="159">
        <f t="shared" si="1"/>
        <v>105787</v>
      </c>
      <c r="O22" s="159">
        <f t="shared" si="1"/>
        <v>25430858.323908772</v>
      </c>
      <c r="P22" s="159">
        <f t="shared" si="1"/>
        <v>0</v>
      </c>
      <c r="Q22" s="159">
        <f t="shared" si="1"/>
        <v>0</v>
      </c>
      <c r="R22" s="159">
        <f t="shared" si="1"/>
        <v>0</v>
      </c>
      <c r="S22" s="179">
        <f t="shared" si="1"/>
        <v>249424551.79113826</v>
      </c>
    </row>
    <row r="23" spans="1:19">
      <c r="S23" s="748">
        <f>S22-'[4]Risk Weighted Risk Exposures'!$P$48-'[4]Risk Weighted Risk Exposures'!$O$78</f>
        <v>-0.12540552827704232</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70" zoomScaleNormal="70" workbookViewId="0">
      <pane xSplit="2" ySplit="6" topLeftCell="R7" activePane="bottomRight" state="frozen"/>
      <selection pane="topRight" activeCell="C1" sqref="C1"/>
      <selection pane="bottomLeft" activeCell="A6" sqref="A6"/>
      <selection pane="bottomRight" activeCell="C7" sqref="C7:U20"/>
    </sheetView>
  </sheetViews>
  <sheetFormatPr defaultColWidth="9.28515625" defaultRowHeight="12.75"/>
  <cols>
    <col min="1" max="1" width="10.5703125" style="2" bestFit="1" customWidth="1"/>
    <col min="2" max="2" width="97" style="2" bestFit="1" customWidth="1"/>
    <col min="3" max="3" width="19" style="2" customWidth="1"/>
    <col min="4" max="4" width="19.5703125" style="2" customWidth="1"/>
    <col min="5" max="5" width="31.28515625" style="2" customWidth="1"/>
    <col min="6" max="6" width="29.28515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71093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28515625" style="2" customWidth="1"/>
    <col min="22" max="22" width="20" style="2" customWidth="1"/>
    <col min="23" max="16384" width="9.28515625" style="12"/>
  </cols>
  <sheetData>
    <row r="1" spans="1:22">
      <c r="A1" s="2" t="s">
        <v>97</v>
      </c>
      <c r="B1" s="204" t="str">
        <f>Info!C2</f>
        <v>სს "ვითიბი ბანკი ჯორჯია"</v>
      </c>
    </row>
    <row r="2" spans="1:22">
      <c r="A2" s="2" t="s">
        <v>98</v>
      </c>
      <c r="B2" s="295">
        <f>'1. key ratios'!B2</f>
        <v>45930</v>
      </c>
    </row>
    <row r="4" spans="1:22" ht="27.75" thickBot="1">
      <c r="A4" s="2" t="s">
        <v>249</v>
      </c>
      <c r="B4" s="175" t="s">
        <v>283</v>
      </c>
      <c r="V4" s="124" t="s">
        <v>76</v>
      </c>
    </row>
    <row r="5" spans="1:22">
      <c r="A5" s="59"/>
      <c r="B5" s="60"/>
      <c r="C5" s="860" t="s">
        <v>105</v>
      </c>
      <c r="D5" s="861"/>
      <c r="E5" s="861"/>
      <c r="F5" s="861"/>
      <c r="G5" s="861"/>
      <c r="H5" s="861"/>
      <c r="I5" s="861"/>
      <c r="J5" s="861"/>
      <c r="K5" s="861"/>
      <c r="L5" s="862"/>
      <c r="M5" s="860" t="s">
        <v>106</v>
      </c>
      <c r="N5" s="861"/>
      <c r="O5" s="861"/>
      <c r="P5" s="861"/>
      <c r="Q5" s="861"/>
      <c r="R5" s="861"/>
      <c r="S5" s="862"/>
      <c r="T5" s="865" t="s">
        <v>281</v>
      </c>
      <c r="U5" s="865" t="s">
        <v>280</v>
      </c>
      <c r="V5" s="863" t="s">
        <v>107</v>
      </c>
    </row>
    <row r="6" spans="1:22" s="35" customFormat="1" ht="140.25">
      <c r="A6" s="66"/>
      <c r="B6" s="100"/>
      <c r="C6" s="57" t="s">
        <v>108</v>
      </c>
      <c r="D6" s="56" t="s">
        <v>109</v>
      </c>
      <c r="E6" s="53" t="s">
        <v>110</v>
      </c>
      <c r="F6" s="176" t="s">
        <v>275</v>
      </c>
      <c r="G6" s="56" t="s">
        <v>111</v>
      </c>
      <c r="H6" s="56" t="s">
        <v>112</v>
      </c>
      <c r="I6" s="56" t="s">
        <v>113</v>
      </c>
      <c r="J6" s="56" t="s">
        <v>142</v>
      </c>
      <c r="K6" s="56" t="s">
        <v>114</v>
      </c>
      <c r="L6" s="58" t="s">
        <v>115</v>
      </c>
      <c r="M6" s="57" t="s">
        <v>116</v>
      </c>
      <c r="N6" s="56" t="s">
        <v>117</v>
      </c>
      <c r="O6" s="56" t="s">
        <v>118</v>
      </c>
      <c r="P6" s="56" t="s">
        <v>119</v>
      </c>
      <c r="Q6" s="56" t="s">
        <v>120</v>
      </c>
      <c r="R6" s="56" t="s">
        <v>121</v>
      </c>
      <c r="S6" s="58" t="s">
        <v>122</v>
      </c>
      <c r="T6" s="866"/>
      <c r="U6" s="866"/>
      <c r="V6" s="864"/>
    </row>
    <row r="7" spans="1:22" s="92" customFormat="1">
      <c r="A7" s="93">
        <v>1</v>
      </c>
      <c r="B7" s="98" t="s">
        <v>123</v>
      </c>
      <c r="C7" s="160"/>
      <c r="D7" s="158">
        <v>0</v>
      </c>
      <c r="E7" s="158"/>
      <c r="F7" s="158"/>
      <c r="G7" s="158"/>
      <c r="H7" s="158"/>
      <c r="I7" s="158"/>
      <c r="J7" s="158">
        <v>0</v>
      </c>
      <c r="K7" s="158"/>
      <c r="L7" s="161"/>
      <c r="M7" s="160"/>
      <c r="N7" s="158"/>
      <c r="O7" s="158"/>
      <c r="P7" s="158"/>
      <c r="Q7" s="158"/>
      <c r="R7" s="158"/>
      <c r="S7" s="161"/>
      <c r="T7" s="170">
        <v>0</v>
      </c>
      <c r="U7" s="169"/>
      <c r="V7" s="162">
        <f>SUM(C7:S7)</f>
        <v>0</v>
      </c>
    </row>
    <row r="8" spans="1:22" s="92" customFormat="1">
      <c r="A8" s="93">
        <v>2</v>
      </c>
      <c r="B8" s="98" t="s">
        <v>124</v>
      </c>
      <c r="C8" s="160"/>
      <c r="D8" s="158">
        <v>0</v>
      </c>
      <c r="E8" s="158"/>
      <c r="F8" s="158"/>
      <c r="G8" s="158"/>
      <c r="H8" s="158"/>
      <c r="I8" s="158"/>
      <c r="J8" s="158">
        <v>0</v>
      </c>
      <c r="K8" s="158"/>
      <c r="L8" s="161"/>
      <c r="M8" s="160"/>
      <c r="N8" s="158"/>
      <c r="O8" s="158"/>
      <c r="P8" s="158"/>
      <c r="Q8" s="158"/>
      <c r="R8" s="158"/>
      <c r="S8" s="161"/>
      <c r="T8" s="169">
        <v>0</v>
      </c>
      <c r="U8" s="169"/>
      <c r="V8" s="162">
        <f t="shared" ref="V8:V20" si="0">SUM(C8:S8)</f>
        <v>0</v>
      </c>
    </row>
    <row r="9" spans="1:22" s="92" customFormat="1">
      <c r="A9" s="93">
        <v>3</v>
      </c>
      <c r="B9" s="98" t="s">
        <v>125</v>
      </c>
      <c r="C9" s="160"/>
      <c r="D9" s="158">
        <v>0</v>
      </c>
      <c r="E9" s="158"/>
      <c r="F9" s="158"/>
      <c r="G9" s="158"/>
      <c r="H9" s="158"/>
      <c r="I9" s="158"/>
      <c r="J9" s="158">
        <v>0</v>
      </c>
      <c r="K9" s="158"/>
      <c r="L9" s="161"/>
      <c r="M9" s="160"/>
      <c r="N9" s="158"/>
      <c r="O9" s="158"/>
      <c r="P9" s="158"/>
      <c r="Q9" s="158"/>
      <c r="R9" s="158"/>
      <c r="S9" s="161"/>
      <c r="T9" s="169">
        <v>0</v>
      </c>
      <c r="U9" s="169"/>
      <c r="V9" s="162">
        <f>SUM(C9:S9)</f>
        <v>0</v>
      </c>
    </row>
    <row r="10" spans="1:22" s="92" customFormat="1">
      <c r="A10" s="93">
        <v>4</v>
      </c>
      <c r="B10" s="98" t="s">
        <v>126</v>
      </c>
      <c r="C10" s="160"/>
      <c r="D10" s="158">
        <v>0</v>
      </c>
      <c r="E10" s="158"/>
      <c r="F10" s="158"/>
      <c r="G10" s="158"/>
      <c r="H10" s="158"/>
      <c r="I10" s="158"/>
      <c r="J10" s="158">
        <v>0</v>
      </c>
      <c r="K10" s="158"/>
      <c r="L10" s="161"/>
      <c r="M10" s="160"/>
      <c r="N10" s="158"/>
      <c r="O10" s="158"/>
      <c r="P10" s="158"/>
      <c r="Q10" s="158"/>
      <c r="R10" s="158"/>
      <c r="S10" s="161"/>
      <c r="T10" s="169">
        <v>0</v>
      </c>
      <c r="U10" s="169"/>
      <c r="V10" s="162">
        <f t="shared" si="0"/>
        <v>0</v>
      </c>
    </row>
    <row r="11" spans="1:22" s="92" customFormat="1">
      <c r="A11" s="93">
        <v>5</v>
      </c>
      <c r="B11" s="98" t="s">
        <v>912</v>
      </c>
      <c r="C11" s="160"/>
      <c r="D11" s="158">
        <v>0</v>
      </c>
      <c r="E11" s="158"/>
      <c r="F11" s="158"/>
      <c r="G11" s="158"/>
      <c r="H11" s="158"/>
      <c r="I11" s="158"/>
      <c r="J11" s="158">
        <v>0</v>
      </c>
      <c r="K11" s="158"/>
      <c r="L11" s="161"/>
      <c r="M11" s="160"/>
      <c r="N11" s="158"/>
      <c r="O11" s="158"/>
      <c r="P11" s="158"/>
      <c r="Q11" s="158"/>
      <c r="R11" s="158"/>
      <c r="S11" s="161"/>
      <c r="T11" s="169">
        <v>0</v>
      </c>
      <c r="U11" s="169"/>
      <c r="V11" s="162">
        <f t="shared" si="0"/>
        <v>0</v>
      </c>
    </row>
    <row r="12" spans="1:22" s="92" customFormat="1">
      <c r="A12" s="93">
        <v>6</v>
      </c>
      <c r="B12" s="98" t="s">
        <v>127</v>
      </c>
      <c r="C12" s="160"/>
      <c r="D12" s="158">
        <v>0</v>
      </c>
      <c r="E12" s="158"/>
      <c r="F12" s="158"/>
      <c r="G12" s="158"/>
      <c r="H12" s="158"/>
      <c r="I12" s="158"/>
      <c r="J12" s="158">
        <v>0</v>
      </c>
      <c r="K12" s="158"/>
      <c r="L12" s="161"/>
      <c r="M12" s="160"/>
      <c r="N12" s="158"/>
      <c r="O12" s="158"/>
      <c r="P12" s="158"/>
      <c r="Q12" s="158"/>
      <c r="R12" s="158"/>
      <c r="S12" s="161"/>
      <c r="T12" s="169">
        <v>0</v>
      </c>
      <c r="U12" s="169"/>
      <c r="V12" s="162">
        <f t="shared" si="0"/>
        <v>0</v>
      </c>
    </row>
    <row r="13" spans="1:22" s="92" customFormat="1">
      <c r="A13" s="93">
        <v>7</v>
      </c>
      <c r="B13" s="98" t="s">
        <v>71</v>
      </c>
      <c r="C13" s="160"/>
      <c r="D13" s="158">
        <v>141904.74139371194</v>
      </c>
      <c r="E13" s="158"/>
      <c r="F13" s="158"/>
      <c r="G13" s="158"/>
      <c r="H13" s="158"/>
      <c r="I13" s="158"/>
      <c r="J13" s="158">
        <v>0</v>
      </c>
      <c r="K13" s="158"/>
      <c r="L13" s="161"/>
      <c r="M13" s="160"/>
      <c r="N13" s="158"/>
      <c r="O13" s="158"/>
      <c r="P13" s="158"/>
      <c r="Q13" s="158"/>
      <c r="R13" s="158"/>
      <c r="S13" s="161"/>
      <c r="T13" s="169">
        <v>117430.74139371194</v>
      </c>
      <c r="U13" s="169">
        <v>24474</v>
      </c>
      <c r="V13" s="162">
        <f t="shared" si="0"/>
        <v>141904.74139371194</v>
      </c>
    </row>
    <row r="14" spans="1:22" s="92" customFormat="1">
      <c r="A14" s="93">
        <v>8</v>
      </c>
      <c r="B14" s="98" t="s">
        <v>72</v>
      </c>
      <c r="C14" s="160"/>
      <c r="D14" s="158">
        <v>0</v>
      </c>
      <c r="E14" s="158"/>
      <c r="F14" s="158"/>
      <c r="G14" s="158"/>
      <c r="H14" s="158"/>
      <c r="I14" s="158"/>
      <c r="J14" s="158">
        <v>0</v>
      </c>
      <c r="K14" s="158"/>
      <c r="L14" s="161"/>
      <c r="M14" s="160"/>
      <c r="N14" s="158"/>
      <c r="O14" s="158"/>
      <c r="P14" s="158"/>
      <c r="Q14" s="158"/>
      <c r="R14" s="158"/>
      <c r="S14" s="161"/>
      <c r="T14" s="169">
        <v>0</v>
      </c>
      <c r="U14" s="169">
        <v>0</v>
      </c>
      <c r="V14" s="162">
        <f t="shared" si="0"/>
        <v>0</v>
      </c>
    </row>
    <row r="15" spans="1:22" s="92" customFormat="1">
      <c r="A15" s="93">
        <v>9</v>
      </c>
      <c r="B15" s="98" t="s">
        <v>913</v>
      </c>
      <c r="C15" s="160"/>
      <c r="D15" s="158">
        <v>0</v>
      </c>
      <c r="E15" s="158"/>
      <c r="F15" s="158"/>
      <c r="G15" s="158"/>
      <c r="H15" s="158"/>
      <c r="I15" s="158"/>
      <c r="J15" s="158">
        <v>0</v>
      </c>
      <c r="K15" s="158"/>
      <c r="L15" s="161"/>
      <c r="M15" s="160"/>
      <c r="N15" s="158"/>
      <c r="O15" s="158"/>
      <c r="P15" s="158"/>
      <c r="Q15" s="158"/>
      <c r="R15" s="158"/>
      <c r="S15" s="161"/>
      <c r="T15" s="169">
        <v>0</v>
      </c>
      <c r="U15" s="169"/>
      <c r="V15" s="162">
        <f t="shared" si="0"/>
        <v>0</v>
      </c>
    </row>
    <row r="16" spans="1:22" s="92" customFormat="1">
      <c r="A16" s="93">
        <v>10</v>
      </c>
      <c r="B16" s="98" t="s">
        <v>67</v>
      </c>
      <c r="C16" s="160"/>
      <c r="D16" s="158">
        <v>0</v>
      </c>
      <c r="E16" s="158"/>
      <c r="F16" s="158"/>
      <c r="G16" s="158"/>
      <c r="H16" s="158"/>
      <c r="I16" s="158"/>
      <c r="J16" s="158">
        <v>0</v>
      </c>
      <c r="K16" s="158"/>
      <c r="L16" s="161"/>
      <c r="M16" s="160"/>
      <c r="N16" s="158"/>
      <c r="O16" s="158"/>
      <c r="P16" s="158"/>
      <c r="Q16" s="158"/>
      <c r="R16" s="158"/>
      <c r="S16" s="161"/>
      <c r="T16" s="169">
        <v>0</v>
      </c>
      <c r="U16" s="169"/>
      <c r="V16" s="162">
        <f t="shared" si="0"/>
        <v>0</v>
      </c>
    </row>
    <row r="17" spans="1:22" s="92" customFormat="1">
      <c r="A17" s="93">
        <v>11</v>
      </c>
      <c r="B17" s="98" t="s">
        <v>68</v>
      </c>
      <c r="C17" s="160"/>
      <c r="D17" s="158">
        <v>0</v>
      </c>
      <c r="E17" s="158"/>
      <c r="F17" s="158"/>
      <c r="G17" s="158"/>
      <c r="H17" s="158"/>
      <c r="I17" s="158"/>
      <c r="J17" s="158">
        <v>0</v>
      </c>
      <c r="K17" s="158"/>
      <c r="L17" s="161"/>
      <c r="M17" s="160"/>
      <c r="N17" s="158"/>
      <c r="O17" s="158"/>
      <c r="P17" s="158"/>
      <c r="Q17" s="158"/>
      <c r="R17" s="158"/>
      <c r="S17" s="161"/>
      <c r="T17" s="169">
        <v>0</v>
      </c>
      <c r="U17" s="169"/>
      <c r="V17" s="162">
        <f t="shared" si="0"/>
        <v>0</v>
      </c>
    </row>
    <row r="18" spans="1:22" s="92" customFormat="1">
      <c r="A18" s="93">
        <v>12</v>
      </c>
      <c r="B18" s="98" t="s">
        <v>69</v>
      </c>
      <c r="C18" s="160"/>
      <c r="D18" s="158">
        <v>0</v>
      </c>
      <c r="E18" s="158"/>
      <c r="F18" s="158"/>
      <c r="G18" s="158"/>
      <c r="H18" s="158"/>
      <c r="I18" s="158"/>
      <c r="J18" s="158">
        <v>0</v>
      </c>
      <c r="K18" s="158"/>
      <c r="L18" s="161"/>
      <c r="M18" s="160"/>
      <c r="N18" s="158"/>
      <c r="O18" s="158"/>
      <c r="P18" s="158"/>
      <c r="Q18" s="158"/>
      <c r="R18" s="158"/>
      <c r="S18" s="161"/>
      <c r="T18" s="169">
        <v>0</v>
      </c>
      <c r="U18" s="169"/>
      <c r="V18" s="162">
        <f t="shared" si="0"/>
        <v>0</v>
      </c>
    </row>
    <row r="19" spans="1:22" s="92" customFormat="1">
      <c r="A19" s="93">
        <v>13</v>
      </c>
      <c r="B19" s="98" t="s">
        <v>70</v>
      </c>
      <c r="C19" s="160"/>
      <c r="D19" s="158">
        <v>0</v>
      </c>
      <c r="E19" s="158"/>
      <c r="F19" s="158"/>
      <c r="G19" s="158"/>
      <c r="H19" s="158"/>
      <c r="I19" s="158"/>
      <c r="J19" s="158">
        <v>0</v>
      </c>
      <c r="K19" s="158"/>
      <c r="L19" s="161"/>
      <c r="M19" s="160"/>
      <c r="N19" s="158"/>
      <c r="O19" s="158"/>
      <c r="P19" s="158"/>
      <c r="Q19" s="158"/>
      <c r="R19" s="158"/>
      <c r="S19" s="161"/>
      <c r="T19" s="169">
        <v>0</v>
      </c>
      <c r="U19" s="169"/>
      <c r="V19" s="162">
        <f t="shared" si="0"/>
        <v>0</v>
      </c>
    </row>
    <row r="20" spans="1:22" s="92" customFormat="1">
      <c r="A20" s="93">
        <v>14</v>
      </c>
      <c r="B20" s="98" t="s">
        <v>143</v>
      </c>
      <c r="C20" s="160"/>
      <c r="D20" s="158">
        <v>0</v>
      </c>
      <c r="E20" s="158"/>
      <c r="F20" s="158"/>
      <c r="G20" s="158"/>
      <c r="H20" s="158"/>
      <c r="I20" s="158"/>
      <c r="J20" s="158">
        <v>0</v>
      </c>
      <c r="K20" s="158"/>
      <c r="L20" s="161"/>
      <c r="M20" s="160"/>
      <c r="N20" s="158"/>
      <c r="O20" s="158"/>
      <c r="P20" s="158"/>
      <c r="Q20" s="158"/>
      <c r="R20" s="158"/>
      <c r="S20" s="161"/>
      <c r="T20" s="169">
        <v>0</v>
      </c>
      <c r="U20" s="169"/>
      <c r="V20" s="162">
        <f t="shared" si="0"/>
        <v>0</v>
      </c>
    </row>
    <row r="21" spans="1:22" ht="13.5" thickBot="1">
      <c r="A21" s="61"/>
      <c r="B21" s="62" t="s">
        <v>66</v>
      </c>
      <c r="C21" s="163">
        <f>SUM(C7:C20)</f>
        <v>0</v>
      </c>
      <c r="D21" s="159">
        <f t="shared" ref="D21:V21" si="1">SUM(D7:D20)</f>
        <v>141904.74139371194</v>
      </c>
      <c r="E21" s="159">
        <f t="shared" si="1"/>
        <v>0</v>
      </c>
      <c r="F21" s="159">
        <f t="shared" si="1"/>
        <v>0</v>
      </c>
      <c r="G21" s="159">
        <f t="shared" si="1"/>
        <v>0</v>
      </c>
      <c r="H21" s="159">
        <f t="shared" si="1"/>
        <v>0</v>
      </c>
      <c r="I21" s="159">
        <f t="shared" si="1"/>
        <v>0</v>
      </c>
      <c r="J21" s="159">
        <f t="shared" si="1"/>
        <v>0</v>
      </c>
      <c r="K21" s="159">
        <f t="shared" si="1"/>
        <v>0</v>
      </c>
      <c r="L21" s="164">
        <f t="shared" si="1"/>
        <v>0</v>
      </c>
      <c r="M21" s="163">
        <f t="shared" si="1"/>
        <v>0</v>
      </c>
      <c r="N21" s="159">
        <f t="shared" si="1"/>
        <v>0</v>
      </c>
      <c r="O21" s="159">
        <f t="shared" si="1"/>
        <v>0</v>
      </c>
      <c r="P21" s="159">
        <f t="shared" si="1"/>
        <v>0</v>
      </c>
      <c r="Q21" s="159">
        <f t="shared" si="1"/>
        <v>0</v>
      </c>
      <c r="R21" s="159">
        <f t="shared" si="1"/>
        <v>0</v>
      </c>
      <c r="S21" s="164">
        <f t="shared" si="1"/>
        <v>0</v>
      </c>
      <c r="T21" s="164">
        <f>SUM(T7:T20)</f>
        <v>117430.74139371194</v>
      </c>
      <c r="U21" s="164">
        <f t="shared" si="1"/>
        <v>24474</v>
      </c>
      <c r="V21" s="165">
        <f t="shared" si="1"/>
        <v>141904.74139371194</v>
      </c>
    </row>
    <row r="24" spans="1:22">
      <c r="A24" s="18"/>
      <c r="B24" s="18"/>
      <c r="C24" s="38"/>
      <c r="D24" s="38"/>
      <c r="E24" s="38"/>
    </row>
    <row r="25" spans="1:22">
      <c r="A25" s="54"/>
      <c r="B25" s="54"/>
      <c r="C25" s="18"/>
      <c r="D25" s="38"/>
      <c r="E25" s="38"/>
    </row>
    <row r="26" spans="1:22">
      <c r="A26" s="54"/>
      <c r="B26" s="55"/>
      <c r="C26" s="18"/>
      <c r="D26" s="38"/>
      <c r="E26" s="38"/>
    </row>
    <row r="27" spans="1:22">
      <c r="A27" s="54"/>
      <c r="B27" s="54"/>
      <c r="C27" s="18"/>
      <c r="D27" s="38"/>
      <c r="E27" s="38"/>
    </row>
    <row r="28" spans="1:22">
      <c r="A28" s="54"/>
      <c r="B28" s="55"/>
      <c r="C28" s="18"/>
      <c r="D28" s="38"/>
      <c r="E28" s="38"/>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70" zoomScaleNormal="70" workbookViewId="0">
      <pane xSplit="1" ySplit="7" topLeftCell="B8" activePane="bottomRight" state="frozen"/>
      <selection activeCell="L18" sqref="L18"/>
      <selection pane="topRight" activeCell="L18" sqref="L18"/>
      <selection pane="bottomLeft" activeCell="L18" sqref="L18"/>
      <selection pane="bottomRight" activeCell="C22" sqref="C22"/>
    </sheetView>
  </sheetViews>
  <sheetFormatPr defaultColWidth="9.28515625" defaultRowHeight="12.75"/>
  <cols>
    <col min="1" max="1" width="10.5703125" style="2" bestFit="1" customWidth="1"/>
    <col min="2" max="2" width="101.7109375" style="2" customWidth="1"/>
    <col min="3" max="3" width="13.7109375" style="2" customWidth="1"/>
    <col min="4" max="4" width="14.7109375" style="2" bestFit="1" customWidth="1"/>
    <col min="5" max="5" width="17.7109375" style="2" customWidth="1"/>
    <col min="6" max="6" width="15.7109375" style="2" customWidth="1"/>
    <col min="7" max="7" width="17.42578125" style="2" customWidth="1"/>
    <col min="8" max="8" width="15.28515625" style="2" customWidth="1"/>
    <col min="9" max="16384" width="9.28515625" style="12"/>
  </cols>
  <sheetData>
    <row r="1" spans="1:9">
      <c r="A1" s="2" t="s">
        <v>97</v>
      </c>
      <c r="B1" s="204" t="str">
        <f>Info!C2</f>
        <v>სს "ვითიბი ბანკი ჯორჯია"</v>
      </c>
    </row>
    <row r="2" spans="1:9">
      <c r="A2" s="2" t="s">
        <v>98</v>
      </c>
      <c r="B2" s="295">
        <f>'1. key ratios'!B2</f>
        <v>45930</v>
      </c>
    </row>
    <row r="4" spans="1:9" ht="13.5" thickBot="1">
      <c r="A4" s="2" t="s">
        <v>250</v>
      </c>
      <c r="B4" s="172" t="s">
        <v>284</v>
      </c>
    </row>
    <row r="5" spans="1:9">
      <c r="A5" s="59"/>
      <c r="B5" s="90"/>
      <c r="C5" s="95" t="s">
        <v>0</v>
      </c>
      <c r="D5" s="95" t="s">
        <v>1</v>
      </c>
      <c r="E5" s="95" t="s">
        <v>2</v>
      </c>
      <c r="F5" s="95" t="s">
        <v>3</v>
      </c>
      <c r="G5" s="168" t="s">
        <v>4</v>
      </c>
      <c r="H5" s="96" t="s">
        <v>5</v>
      </c>
      <c r="I5" s="24"/>
    </row>
    <row r="6" spans="1:9" ht="15" customHeight="1">
      <c r="A6" s="89"/>
      <c r="B6" s="22"/>
      <c r="C6" s="867" t="s">
        <v>276</v>
      </c>
      <c r="D6" s="871" t="s">
        <v>297</v>
      </c>
      <c r="E6" s="872"/>
      <c r="F6" s="867" t="s">
        <v>303</v>
      </c>
      <c r="G6" s="867" t="s">
        <v>304</v>
      </c>
      <c r="H6" s="869" t="s">
        <v>278</v>
      </c>
      <c r="I6" s="24"/>
    </row>
    <row r="7" spans="1:9" ht="76.5">
      <c r="A7" s="89"/>
      <c r="B7" s="22"/>
      <c r="C7" s="868"/>
      <c r="D7" s="171" t="s">
        <v>279</v>
      </c>
      <c r="E7" s="171" t="s">
        <v>277</v>
      </c>
      <c r="F7" s="868"/>
      <c r="G7" s="868"/>
      <c r="H7" s="870"/>
      <c r="I7" s="24"/>
    </row>
    <row r="8" spans="1:9">
      <c r="A8" s="51">
        <v>1</v>
      </c>
      <c r="B8" s="98" t="s">
        <v>123</v>
      </c>
      <c r="C8" s="749">
        <v>351</v>
      </c>
      <c r="D8" s="750">
        <v>0</v>
      </c>
      <c r="E8" s="749">
        <v>0</v>
      </c>
      <c r="F8" s="749">
        <v>0</v>
      </c>
      <c r="G8" s="751">
        <v>0</v>
      </c>
      <c r="H8" s="752">
        <f>IFERROR(G8/(C8+E8),0)</f>
        <v>0</v>
      </c>
    </row>
    <row r="9" spans="1:9" ht="15" customHeight="1">
      <c r="A9" s="51">
        <v>2</v>
      </c>
      <c r="B9" s="98" t="s">
        <v>124</v>
      </c>
      <c r="C9" s="749">
        <v>0</v>
      </c>
      <c r="D9" s="750">
        <v>0</v>
      </c>
      <c r="E9" s="749">
        <v>0</v>
      </c>
      <c r="F9" s="749">
        <v>0</v>
      </c>
      <c r="G9" s="751">
        <v>0</v>
      </c>
      <c r="H9" s="752">
        <f t="shared" ref="H9:H21" si="0">IFERROR(G9/(C9+E9),0)</f>
        <v>0</v>
      </c>
    </row>
    <row r="10" spans="1:9">
      <c r="A10" s="51">
        <v>3</v>
      </c>
      <c r="B10" s="98" t="s">
        <v>125</v>
      </c>
      <c r="C10" s="749">
        <v>0</v>
      </c>
      <c r="D10" s="750">
        <v>0</v>
      </c>
      <c r="E10" s="749">
        <v>0</v>
      </c>
      <c r="F10" s="749">
        <v>0</v>
      </c>
      <c r="G10" s="751">
        <v>0</v>
      </c>
      <c r="H10" s="752">
        <f t="shared" si="0"/>
        <v>0</v>
      </c>
    </row>
    <row r="11" spans="1:9">
      <c r="A11" s="51">
        <v>4</v>
      </c>
      <c r="B11" s="98" t="s">
        <v>126</v>
      </c>
      <c r="C11" s="749">
        <v>0</v>
      </c>
      <c r="D11" s="750">
        <v>0</v>
      </c>
      <c r="E11" s="749">
        <v>0</v>
      </c>
      <c r="F11" s="749">
        <v>0</v>
      </c>
      <c r="G11" s="751">
        <v>0</v>
      </c>
      <c r="H11" s="752">
        <f t="shared" si="0"/>
        <v>0</v>
      </c>
    </row>
    <row r="12" spans="1:9">
      <c r="A12" s="51">
        <v>5</v>
      </c>
      <c r="B12" s="98" t="s">
        <v>912</v>
      </c>
      <c r="C12" s="749">
        <v>0</v>
      </c>
      <c r="D12" s="750">
        <v>0</v>
      </c>
      <c r="E12" s="749">
        <v>0</v>
      </c>
      <c r="F12" s="749">
        <v>0</v>
      </c>
      <c r="G12" s="751">
        <v>0</v>
      </c>
      <c r="H12" s="752">
        <f t="shared" si="0"/>
        <v>0</v>
      </c>
    </row>
    <row r="13" spans="1:9">
      <c r="A13" s="51">
        <v>6</v>
      </c>
      <c r="B13" s="98" t="s">
        <v>127</v>
      </c>
      <c r="C13" s="749">
        <v>7082269.5671999995</v>
      </c>
      <c r="D13" s="750">
        <v>0</v>
      </c>
      <c r="E13" s="749">
        <v>0</v>
      </c>
      <c r="F13" s="749">
        <v>2587024.3930400005</v>
      </c>
      <c r="G13" s="751">
        <v>2587024.3930400005</v>
      </c>
      <c r="H13" s="752">
        <f t="shared" si="0"/>
        <v>0.36528183070314701</v>
      </c>
    </row>
    <row r="14" spans="1:9">
      <c r="A14" s="51">
        <v>7</v>
      </c>
      <c r="B14" s="98" t="s">
        <v>71</v>
      </c>
      <c r="C14" s="749">
        <v>91806445.789294511</v>
      </c>
      <c r="D14" s="750">
        <v>192028.98432718188</v>
      </c>
      <c r="E14" s="749">
        <v>105787.12540552826</v>
      </c>
      <c r="F14" s="749">
        <v>92192961.423257262</v>
      </c>
      <c r="G14" s="751">
        <v>92051056.467491552</v>
      </c>
      <c r="H14" s="752">
        <f t="shared" si="0"/>
        <v>1.0015103925602629</v>
      </c>
    </row>
    <row r="15" spans="1:9">
      <c r="A15" s="51">
        <v>8</v>
      </c>
      <c r="B15" s="98" t="s">
        <v>72</v>
      </c>
      <c r="C15" s="749">
        <v>0</v>
      </c>
      <c r="D15" s="750">
        <v>0</v>
      </c>
      <c r="E15" s="749">
        <v>0</v>
      </c>
      <c r="F15" s="749">
        <v>0</v>
      </c>
      <c r="G15" s="751">
        <v>0</v>
      </c>
      <c r="H15" s="752">
        <f t="shared" si="0"/>
        <v>0</v>
      </c>
    </row>
    <row r="16" spans="1:9">
      <c r="A16" s="51">
        <v>9</v>
      </c>
      <c r="B16" s="98" t="s">
        <v>913</v>
      </c>
      <c r="C16" s="749">
        <v>4610759.1968045691</v>
      </c>
      <c r="D16" s="750">
        <v>0</v>
      </c>
      <c r="E16" s="749">
        <v>0</v>
      </c>
      <c r="F16" s="749">
        <v>1613765.7188815991</v>
      </c>
      <c r="G16" s="751">
        <v>1613765.7188815991</v>
      </c>
      <c r="H16" s="752">
        <f t="shared" si="0"/>
        <v>0.35</v>
      </c>
    </row>
    <row r="17" spans="1:8">
      <c r="A17" s="51">
        <v>10</v>
      </c>
      <c r="B17" s="98" t="s">
        <v>67</v>
      </c>
      <c r="C17" s="749">
        <v>37543080.879058026</v>
      </c>
      <c r="D17" s="750">
        <v>0</v>
      </c>
      <c r="E17" s="749">
        <v>0</v>
      </c>
      <c r="F17" s="749">
        <v>49746830.371364951</v>
      </c>
      <c r="G17" s="751">
        <v>49746830.371364951</v>
      </c>
      <c r="H17" s="752">
        <f t="shared" si="0"/>
        <v>1.3250598833809166</v>
      </c>
    </row>
    <row r="18" spans="1:8">
      <c r="A18" s="51">
        <v>11</v>
      </c>
      <c r="B18" s="98" t="s">
        <v>68</v>
      </c>
      <c r="C18" s="749">
        <v>0</v>
      </c>
      <c r="D18" s="750">
        <v>0</v>
      </c>
      <c r="E18" s="749">
        <v>0</v>
      </c>
      <c r="F18" s="749">
        <v>0</v>
      </c>
      <c r="G18" s="751">
        <v>0</v>
      </c>
      <c r="H18" s="752">
        <f t="shared" si="0"/>
        <v>0</v>
      </c>
    </row>
    <row r="19" spans="1:8">
      <c r="A19" s="51">
        <v>12</v>
      </c>
      <c r="B19" s="98" t="s">
        <v>69</v>
      </c>
      <c r="C19" s="749">
        <v>0</v>
      </c>
      <c r="D19" s="750">
        <v>0</v>
      </c>
      <c r="E19" s="749">
        <v>0</v>
      </c>
      <c r="F19" s="749">
        <v>0</v>
      </c>
      <c r="G19" s="751">
        <v>0</v>
      </c>
      <c r="H19" s="752">
        <f t="shared" si="0"/>
        <v>0</v>
      </c>
    </row>
    <row r="20" spans="1:8">
      <c r="A20" s="51">
        <v>13</v>
      </c>
      <c r="B20" s="98" t="s">
        <v>70</v>
      </c>
      <c r="C20" s="749">
        <v>0</v>
      </c>
      <c r="D20" s="750">
        <v>0</v>
      </c>
      <c r="E20" s="749">
        <v>0</v>
      </c>
      <c r="F20" s="749">
        <v>0</v>
      </c>
      <c r="G20" s="751">
        <v>0</v>
      </c>
      <c r="H20" s="752">
        <f t="shared" si="0"/>
        <v>0</v>
      </c>
    </row>
    <row r="21" spans="1:8">
      <c r="A21" s="51">
        <v>14</v>
      </c>
      <c r="B21" s="98" t="s">
        <v>143</v>
      </c>
      <c r="C21" s="749">
        <v>300794194.89429998</v>
      </c>
      <c r="D21" s="750">
        <v>0</v>
      </c>
      <c r="E21" s="749">
        <v>0</v>
      </c>
      <c r="F21" s="749">
        <v>103283970.00999999</v>
      </c>
      <c r="G21" s="751">
        <v>103283970.00999999</v>
      </c>
      <c r="H21" s="752">
        <f t="shared" si="0"/>
        <v>0.34337088867786925</v>
      </c>
    </row>
    <row r="22" spans="1:8" ht="13.5" thickBot="1">
      <c r="A22" s="91"/>
      <c r="B22" s="97" t="s">
        <v>66</v>
      </c>
      <c r="C22" s="159">
        <f>SUM(C8:C21)</f>
        <v>441837101.32665706</v>
      </c>
      <c r="D22" s="159">
        <f>SUM(D8:D21)</f>
        <v>192028.98432718188</v>
      </c>
      <c r="E22" s="159">
        <f>SUM(E8:E21)</f>
        <v>105787.12540552826</v>
      </c>
      <c r="F22" s="159">
        <f>SUM(F8:F21)</f>
        <v>249424551.91654378</v>
      </c>
      <c r="G22" s="159">
        <f>SUM(G8:G21)</f>
        <v>249282646.96077809</v>
      </c>
      <c r="H22" s="177">
        <f>G22/(C22+E22)</f>
        <v>0.56406077227288087</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B2" sqref="B2"/>
    </sheetView>
  </sheetViews>
  <sheetFormatPr defaultColWidth="9.28515625" defaultRowHeight="12.75"/>
  <cols>
    <col min="1" max="1" width="10.5703125" style="204" bestFit="1" customWidth="1"/>
    <col min="2" max="2" width="104.28515625" style="204" customWidth="1"/>
    <col min="3" max="11" width="12.7109375" style="204" customWidth="1"/>
    <col min="12" max="16384" width="9.28515625" style="204"/>
  </cols>
  <sheetData>
    <row r="1" spans="1:11">
      <c r="A1" s="204" t="s">
        <v>97</v>
      </c>
      <c r="B1" s="204" t="str">
        <f>Info!C2</f>
        <v>სს "ვითიბი ბანკი ჯორჯია"</v>
      </c>
    </row>
    <row r="2" spans="1:11">
      <c r="A2" s="204" t="s">
        <v>98</v>
      </c>
      <c r="B2" s="813">
        <f>'1. key ratios'!B2</f>
        <v>45930</v>
      </c>
      <c r="C2" s="205"/>
      <c r="D2" s="205"/>
    </row>
    <row r="3" spans="1:11">
      <c r="B3" s="205"/>
      <c r="C3" s="205"/>
      <c r="D3" s="205"/>
    </row>
    <row r="4" spans="1:11" ht="13.5" thickBot="1">
      <c r="A4" s="204" t="s">
        <v>340</v>
      </c>
      <c r="B4" s="172" t="s">
        <v>339</v>
      </c>
      <c r="C4" s="205"/>
      <c r="D4" s="205"/>
    </row>
    <row r="5" spans="1:11" ht="30" customHeight="1">
      <c r="A5" s="876"/>
      <c r="B5" s="877"/>
      <c r="C5" s="874" t="s">
        <v>372</v>
      </c>
      <c r="D5" s="874"/>
      <c r="E5" s="874"/>
      <c r="F5" s="874" t="s">
        <v>373</v>
      </c>
      <c r="G5" s="874"/>
      <c r="H5" s="874"/>
      <c r="I5" s="874" t="s">
        <v>374</v>
      </c>
      <c r="J5" s="874"/>
      <c r="K5" s="875"/>
    </row>
    <row r="6" spans="1:11">
      <c r="A6" s="202"/>
      <c r="B6" s="203"/>
      <c r="C6" s="206" t="s">
        <v>26</v>
      </c>
      <c r="D6" s="206" t="s">
        <v>79</v>
      </c>
      <c r="E6" s="206" t="s">
        <v>66</v>
      </c>
      <c r="F6" s="206" t="s">
        <v>26</v>
      </c>
      <c r="G6" s="206" t="s">
        <v>79</v>
      </c>
      <c r="H6" s="206" t="s">
        <v>66</v>
      </c>
      <c r="I6" s="206" t="s">
        <v>26</v>
      </c>
      <c r="J6" s="206" t="s">
        <v>79</v>
      </c>
      <c r="K6" s="208" t="s">
        <v>66</v>
      </c>
    </row>
    <row r="7" spans="1:11">
      <c r="A7" s="209" t="s">
        <v>310</v>
      </c>
      <c r="B7" s="201"/>
      <c r="C7" s="799"/>
      <c r="D7" s="799"/>
      <c r="E7" s="799"/>
      <c r="F7" s="799"/>
      <c r="G7" s="799"/>
      <c r="H7" s="799"/>
      <c r="I7" s="799"/>
      <c r="J7" s="799"/>
      <c r="K7" s="800"/>
    </row>
    <row r="8" spans="1:11">
      <c r="A8" s="200">
        <v>1</v>
      </c>
      <c r="B8" s="185" t="s">
        <v>310</v>
      </c>
      <c r="C8" s="801"/>
      <c r="D8" s="801"/>
      <c r="E8" s="801"/>
      <c r="F8" s="802">
        <v>101539690.93282613</v>
      </c>
      <c r="G8" s="802">
        <v>81291376.71418263</v>
      </c>
      <c r="H8" s="802">
        <v>182831067.64700872</v>
      </c>
      <c r="I8" s="802">
        <v>101539690.93282613</v>
      </c>
      <c r="J8" s="802">
        <v>81291376.71418263</v>
      </c>
      <c r="K8" s="803">
        <v>182831067.64700872</v>
      </c>
    </row>
    <row r="9" spans="1:11">
      <c r="A9" s="209" t="s">
        <v>311</v>
      </c>
      <c r="B9" s="201"/>
      <c r="C9" s="799"/>
      <c r="D9" s="799"/>
      <c r="E9" s="799"/>
      <c r="F9" s="799"/>
      <c r="G9" s="799"/>
      <c r="H9" s="799"/>
      <c r="I9" s="799"/>
      <c r="J9" s="799"/>
      <c r="K9" s="800"/>
    </row>
    <row r="10" spans="1:11">
      <c r="A10" s="210">
        <v>2</v>
      </c>
      <c r="B10" s="186" t="s">
        <v>312</v>
      </c>
      <c r="C10" s="322">
        <v>3171551.7531521735</v>
      </c>
      <c r="D10" s="804">
        <v>187959.72565217389</v>
      </c>
      <c r="E10" s="804">
        <v>3359511.4788043462</v>
      </c>
      <c r="F10" s="804">
        <v>638050.81602717412</v>
      </c>
      <c r="G10" s="804">
        <v>37901.048696739126</v>
      </c>
      <c r="H10" s="804">
        <v>675951.86472391291</v>
      </c>
      <c r="I10" s="804">
        <v>158577.58765760873</v>
      </c>
      <c r="J10" s="804">
        <v>9404.1738586956508</v>
      </c>
      <c r="K10" s="805">
        <v>167981.76151630434</v>
      </c>
    </row>
    <row r="11" spans="1:11">
      <c r="A11" s="210">
        <v>3</v>
      </c>
      <c r="B11" s="186" t="s">
        <v>313</v>
      </c>
      <c r="C11" s="322">
        <v>8913349.4878260847</v>
      </c>
      <c r="D11" s="804">
        <v>91787735.612718254</v>
      </c>
      <c r="E11" s="804">
        <v>100701085.1005443</v>
      </c>
      <c r="F11" s="804">
        <v>6257060.2339347778</v>
      </c>
      <c r="G11" s="804">
        <v>417602.81032877747</v>
      </c>
      <c r="H11" s="804">
        <v>6674663.0442635575</v>
      </c>
      <c r="I11" s="804">
        <v>3399937.8939130418</v>
      </c>
      <c r="J11" s="804">
        <v>384125.52103984234</v>
      </c>
      <c r="K11" s="805">
        <v>3784063.4149528854</v>
      </c>
    </row>
    <row r="12" spans="1:11">
      <c r="A12" s="210">
        <v>4</v>
      </c>
      <c r="B12" s="186" t="s">
        <v>314</v>
      </c>
      <c r="C12" s="322">
        <v>0</v>
      </c>
      <c r="D12" s="804">
        <v>0</v>
      </c>
      <c r="E12" s="804">
        <v>0</v>
      </c>
      <c r="F12" s="804">
        <v>0</v>
      </c>
      <c r="G12" s="804">
        <v>0</v>
      </c>
      <c r="H12" s="804">
        <v>0</v>
      </c>
      <c r="I12" s="804">
        <v>0</v>
      </c>
      <c r="J12" s="804">
        <v>0</v>
      </c>
      <c r="K12" s="805">
        <v>0</v>
      </c>
    </row>
    <row r="13" spans="1:11">
      <c r="A13" s="210">
        <v>5</v>
      </c>
      <c r="B13" s="186" t="s">
        <v>315</v>
      </c>
      <c r="C13" s="322">
        <v>200000</v>
      </c>
      <c r="D13" s="804">
        <v>0</v>
      </c>
      <c r="E13" s="804">
        <v>200000</v>
      </c>
      <c r="F13" s="804">
        <v>20000</v>
      </c>
      <c r="G13" s="804">
        <v>0</v>
      </c>
      <c r="H13" s="804">
        <v>20000</v>
      </c>
      <c r="I13" s="804">
        <v>10000</v>
      </c>
      <c r="J13" s="804">
        <v>0</v>
      </c>
      <c r="K13" s="805">
        <v>10000</v>
      </c>
    </row>
    <row r="14" spans="1:11">
      <c r="A14" s="210">
        <v>6</v>
      </c>
      <c r="B14" s="186" t="s">
        <v>330</v>
      </c>
      <c r="C14" s="322">
        <v>0</v>
      </c>
      <c r="D14" s="804">
        <v>0</v>
      </c>
      <c r="E14" s="804">
        <v>0</v>
      </c>
      <c r="F14" s="804">
        <v>0</v>
      </c>
      <c r="G14" s="804">
        <v>0</v>
      </c>
      <c r="H14" s="804">
        <v>0</v>
      </c>
      <c r="I14" s="804">
        <v>0</v>
      </c>
      <c r="J14" s="804">
        <v>0</v>
      </c>
      <c r="K14" s="805">
        <v>0</v>
      </c>
    </row>
    <row r="15" spans="1:11">
      <c r="A15" s="210">
        <v>7</v>
      </c>
      <c r="B15" s="186" t="s">
        <v>317</v>
      </c>
      <c r="C15" s="322">
        <v>3039176.8165217401</v>
      </c>
      <c r="D15" s="804">
        <v>49557994.026868477</v>
      </c>
      <c r="E15" s="804">
        <v>52597170.843390204</v>
      </c>
      <c r="F15" s="804">
        <v>313513.73913043481</v>
      </c>
      <c r="G15" s="804">
        <v>16133869.348121738</v>
      </c>
      <c r="H15" s="804">
        <v>16447383.087252174</v>
      </c>
      <c r="I15" s="804">
        <v>313513.73913043481</v>
      </c>
      <c r="J15" s="804">
        <v>16133869.348121738</v>
      </c>
      <c r="K15" s="805">
        <v>16447383.087252174</v>
      </c>
    </row>
    <row r="16" spans="1:11">
      <c r="A16" s="210">
        <v>8</v>
      </c>
      <c r="B16" s="187" t="s">
        <v>318</v>
      </c>
      <c r="C16" s="322">
        <v>15324078.057499992</v>
      </c>
      <c r="D16" s="804">
        <v>141533689.36523893</v>
      </c>
      <c r="E16" s="804">
        <v>156857767.42273894</v>
      </c>
      <c r="F16" s="804">
        <v>7228624.7890923861</v>
      </c>
      <c r="G16" s="804">
        <v>16589373.207147254</v>
      </c>
      <c r="H16" s="804">
        <v>23817997.99623964</v>
      </c>
      <c r="I16" s="804">
        <v>3882029.2207010873</v>
      </c>
      <c r="J16" s="804">
        <v>16527399.04302028</v>
      </c>
      <c r="K16" s="805">
        <v>20409428.263721369</v>
      </c>
    </row>
    <row r="17" spans="1:11">
      <c r="A17" s="209" t="s">
        <v>319</v>
      </c>
      <c r="B17" s="201"/>
      <c r="C17" s="799"/>
      <c r="D17" s="799"/>
      <c r="E17" s="799"/>
      <c r="F17" s="799"/>
      <c r="G17" s="799"/>
      <c r="H17" s="799"/>
      <c r="I17" s="799"/>
      <c r="J17" s="799"/>
      <c r="K17" s="800"/>
    </row>
    <row r="18" spans="1:11">
      <c r="A18" s="210">
        <v>9</v>
      </c>
      <c r="B18" s="186" t="s">
        <v>320</v>
      </c>
      <c r="C18" s="322">
        <v>0</v>
      </c>
      <c r="D18" s="804">
        <v>0</v>
      </c>
      <c r="E18" s="804">
        <v>0</v>
      </c>
      <c r="F18" s="804">
        <v>0</v>
      </c>
      <c r="G18" s="804">
        <v>0</v>
      </c>
      <c r="H18" s="804">
        <v>0</v>
      </c>
      <c r="I18" s="804">
        <v>0</v>
      </c>
      <c r="J18" s="804">
        <v>0</v>
      </c>
      <c r="K18" s="805">
        <v>0</v>
      </c>
    </row>
    <row r="19" spans="1:11">
      <c r="A19" s="210">
        <v>10</v>
      </c>
      <c r="B19" s="186" t="s">
        <v>321</v>
      </c>
      <c r="C19" s="322">
        <v>25839258.77468995</v>
      </c>
      <c r="D19" s="804">
        <v>23667811.600991949</v>
      </c>
      <c r="E19" s="804">
        <v>49507070.375681885</v>
      </c>
      <c r="F19" s="804">
        <v>16113.675121890758</v>
      </c>
      <c r="G19" s="804">
        <v>1390724.8700874657</v>
      </c>
      <c r="H19" s="804">
        <v>1406838.5452093554</v>
      </c>
      <c r="I19" s="804">
        <v>16113.675121890758</v>
      </c>
      <c r="J19" s="804">
        <v>1390724.8700874657</v>
      </c>
      <c r="K19" s="805">
        <v>1406838.5452093554</v>
      </c>
    </row>
    <row r="20" spans="1:11">
      <c r="A20" s="210">
        <v>11</v>
      </c>
      <c r="B20" s="186" t="s">
        <v>322</v>
      </c>
      <c r="C20" s="322">
        <v>14811142.639456525</v>
      </c>
      <c r="D20" s="804">
        <v>3407873.0577989123</v>
      </c>
      <c r="E20" s="804">
        <v>18219015.697255433</v>
      </c>
      <c r="F20" s="804">
        <v>0</v>
      </c>
      <c r="G20" s="804">
        <v>0</v>
      </c>
      <c r="H20" s="804">
        <v>0</v>
      </c>
      <c r="I20" s="804">
        <v>0</v>
      </c>
      <c r="J20" s="804">
        <v>0</v>
      </c>
      <c r="K20" s="805">
        <v>0</v>
      </c>
    </row>
    <row r="21" spans="1:11" ht="13.5" thickBot="1">
      <c r="A21" s="132">
        <v>12</v>
      </c>
      <c r="B21" s="211" t="s">
        <v>323</v>
      </c>
      <c r="C21" s="810">
        <v>40650401.414146461</v>
      </c>
      <c r="D21" s="811">
        <v>27075684.658790875</v>
      </c>
      <c r="E21" s="810">
        <v>67726086.07293731</v>
      </c>
      <c r="F21" s="811">
        <v>16113.675121890758</v>
      </c>
      <c r="G21" s="811">
        <v>1390724.8700874657</v>
      </c>
      <c r="H21" s="811">
        <v>1406838.5452093554</v>
      </c>
      <c r="I21" s="811">
        <v>16113.675121890758</v>
      </c>
      <c r="J21" s="811">
        <v>1390724.8700874657</v>
      </c>
      <c r="K21" s="812">
        <v>1406838.5452093554</v>
      </c>
    </row>
    <row r="22" spans="1:11" ht="38.25" customHeight="1" thickBot="1">
      <c r="A22" s="198"/>
      <c r="B22" s="199"/>
      <c r="C22" s="199"/>
      <c r="D22" s="199"/>
      <c r="E22" s="199"/>
      <c r="F22" s="873" t="s">
        <v>324</v>
      </c>
      <c r="G22" s="874"/>
      <c r="H22" s="874"/>
      <c r="I22" s="873" t="s">
        <v>325</v>
      </c>
      <c r="J22" s="874"/>
      <c r="K22" s="875"/>
    </row>
    <row r="23" spans="1:11">
      <c r="A23" s="191">
        <v>13</v>
      </c>
      <c r="B23" s="188" t="s">
        <v>310</v>
      </c>
      <c r="C23" s="197"/>
      <c r="D23" s="197"/>
      <c r="E23" s="197"/>
      <c r="F23" s="806">
        <v>101539690.93282613</v>
      </c>
      <c r="G23" s="806">
        <v>81291376.71418263</v>
      </c>
      <c r="H23" s="806">
        <v>182831067.64700872</v>
      </c>
      <c r="I23" s="806">
        <v>101539690.93282613</v>
      </c>
      <c r="J23" s="806">
        <v>81291376.71418263</v>
      </c>
      <c r="K23" s="807">
        <v>182831067.64700872</v>
      </c>
    </row>
    <row r="24" spans="1:11" ht="13.5" thickBot="1">
      <c r="A24" s="192">
        <v>14</v>
      </c>
      <c r="B24" s="189" t="s">
        <v>326</v>
      </c>
      <c r="C24" s="212"/>
      <c r="D24" s="195"/>
      <c r="E24" s="196"/>
      <c r="F24" s="808">
        <v>7212511.1139704958</v>
      </c>
      <c r="G24" s="808">
        <v>15198648.337059788</v>
      </c>
      <c r="H24" s="808">
        <v>22411159.451030284</v>
      </c>
      <c r="I24" s="808">
        <v>3865915.5455791964</v>
      </c>
      <c r="J24" s="808">
        <v>15136674.172932815</v>
      </c>
      <c r="K24" s="809">
        <v>19002589.718512014</v>
      </c>
    </row>
    <row r="25" spans="1:11" ht="13.5" thickBot="1">
      <c r="A25" s="193">
        <v>15</v>
      </c>
      <c r="B25" s="190" t="s">
        <v>327</v>
      </c>
      <c r="C25" s="194"/>
      <c r="D25" s="194"/>
      <c r="E25" s="194"/>
      <c r="F25" s="797">
        <v>14.078271676579561</v>
      </c>
      <c r="G25" s="797">
        <v>5.3485925137148493</v>
      </c>
      <c r="H25" s="797">
        <v>8.1580369836065589</v>
      </c>
      <c r="I25" s="797">
        <v>26.265367087219524</v>
      </c>
      <c r="J25" s="797">
        <v>5.3704912839801171</v>
      </c>
      <c r="K25" s="798">
        <v>9.6213763679219824</v>
      </c>
    </row>
    <row r="28" spans="1:11" ht="38.25">
      <c r="B28" s="23"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B3" sqref="B3"/>
    </sheetView>
  </sheetViews>
  <sheetFormatPr defaultColWidth="9.28515625" defaultRowHeight="15"/>
  <cols>
    <col min="1" max="1" width="10.5703125" style="36" bestFit="1" customWidth="1"/>
    <col min="2" max="2" width="95" style="36" customWidth="1"/>
    <col min="3" max="9" width="15" style="36" customWidth="1"/>
    <col min="10" max="14" width="18.5703125" style="36" customWidth="1"/>
    <col min="15" max="17" width="18.5703125" style="12" customWidth="1"/>
    <col min="18" max="16384" width="9.28515625" style="12"/>
  </cols>
  <sheetData>
    <row r="1" spans="1:17">
      <c r="A1" s="666" t="s">
        <v>97</v>
      </c>
      <c r="B1" s="36" t="str">
        <f>'14. LCR'!B1</f>
        <v>სს "ვითიბი ბანკი ჯორჯია"</v>
      </c>
    </row>
    <row r="2" spans="1:17">
      <c r="A2" s="36" t="s">
        <v>98</v>
      </c>
      <c r="B2" s="295">
        <f>'14. LCR'!B2</f>
        <v>45930</v>
      </c>
    </row>
    <row r="3" spans="1:17">
      <c r="B3" s="12"/>
      <c r="C3" s="12"/>
      <c r="D3" s="12"/>
      <c r="E3" s="12"/>
      <c r="F3" s="12"/>
      <c r="G3" s="12"/>
      <c r="H3" s="12"/>
      <c r="I3" s="12"/>
      <c r="J3" s="12"/>
      <c r="K3" s="12"/>
      <c r="L3" s="12"/>
      <c r="M3" s="12"/>
      <c r="N3" s="12"/>
    </row>
    <row r="4" spans="1:17">
      <c r="B4" s="667" t="s">
        <v>980</v>
      </c>
      <c r="C4" s="12"/>
      <c r="D4" s="12"/>
      <c r="E4" s="12"/>
      <c r="F4" s="12"/>
      <c r="G4" s="12"/>
      <c r="H4" s="12"/>
      <c r="I4" s="12"/>
      <c r="J4" s="12"/>
      <c r="K4" s="12"/>
      <c r="L4" s="12"/>
      <c r="M4" s="12"/>
      <c r="N4" s="12"/>
    </row>
    <row r="5" spans="1:17" ht="120">
      <c r="B5" s="668" t="s">
        <v>981</v>
      </c>
      <c r="C5" s="669" t="s">
        <v>982</v>
      </c>
      <c r="D5" s="669" t="s">
        <v>983</v>
      </c>
      <c r="E5" s="669" t="s">
        <v>984</v>
      </c>
      <c r="F5" s="669" t="s">
        <v>985</v>
      </c>
      <c r="G5" s="669" t="s">
        <v>986</v>
      </c>
      <c r="H5" s="669" t="s">
        <v>987</v>
      </c>
      <c r="I5" s="670" t="s">
        <v>988</v>
      </c>
      <c r="J5" s="671">
        <v>0.02</v>
      </c>
      <c r="K5" s="671">
        <v>0.2</v>
      </c>
      <c r="L5" s="671">
        <v>0.35</v>
      </c>
      <c r="M5" s="671">
        <v>0.5</v>
      </c>
      <c r="N5" s="671">
        <v>0.75</v>
      </c>
      <c r="O5" s="671">
        <v>1</v>
      </c>
      <c r="P5" s="671">
        <v>1.5</v>
      </c>
      <c r="Q5" s="672" t="s">
        <v>73</v>
      </c>
    </row>
    <row r="6" spans="1:17" ht="15.75">
      <c r="B6" s="673"/>
      <c r="C6" s="638" t="b">
        <f>IF(C7&gt;0,C7,IF(C8&gt;0,C8,IF(C9&gt;0,C9)))</f>
        <v>0</v>
      </c>
      <c r="D6" s="638" t="b">
        <f t="shared" ref="D6:Q6" si="0">IF(D7&gt;0,D7,IF(D8&gt;0,D8,IF(D9&gt;0,D9)))</f>
        <v>0</v>
      </c>
      <c r="E6" s="638" t="b">
        <f t="shared" si="0"/>
        <v>0</v>
      </c>
      <c r="F6" s="638" t="b">
        <f t="shared" si="0"/>
        <v>0</v>
      </c>
      <c r="G6" s="638" t="b">
        <f t="shared" si="0"/>
        <v>0</v>
      </c>
      <c r="H6" s="638"/>
      <c r="I6" s="638" t="b">
        <f t="shared" si="0"/>
        <v>0</v>
      </c>
      <c r="J6" s="638" t="b">
        <f t="shared" si="0"/>
        <v>0</v>
      </c>
      <c r="K6" s="638" t="b">
        <f t="shared" si="0"/>
        <v>0</v>
      </c>
      <c r="L6" s="638" t="b">
        <f t="shared" si="0"/>
        <v>0</v>
      </c>
      <c r="M6" s="638" t="b">
        <f t="shared" si="0"/>
        <v>0</v>
      </c>
      <c r="N6" s="638" t="b">
        <f t="shared" si="0"/>
        <v>0</v>
      </c>
      <c r="O6" s="638" t="b">
        <f t="shared" si="0"/>
        <v>0</v>
      </c>
      <c r="P6" s="638" t="b">
        <f t="shared" si="0"/>
        <v>0</v>
      </c>
      <c r="Q6" s="638" t="b">
        <f t="shared" si="0"/>
        <v>0</v>
      </c>
    </row>
    <row r="7" spans="1:17" ht="15.75">
      <c r="B7" s="674" t="s">
        <v>976</v>
      </c>
      <c r="C7" s="638">
        <f>C11+C15+C19+C23+C27+C31</f>
        <v>0</v>
      </c>
      <c r="D7" s="638">
        <v>0</v>
      </c>
      <c r="E7" s="638">
        <v>0</v>
      </c>
      <c r="F7" s="638">
        <f t="shared" ref="F7:G9" si="1">F11+F15+F19+F23+F27+F31</f>
        <v>0</v>
      </c>
      <c r="G7" s="638">
        <f t="shared" si="1"/>
        <v>0</v>
      </c>
      <c r="H7" s="675">
        <v>1.4</v>
      </c>
      <c r="I7" s="676">
        <f t="shared" ref="I7:I33" si="2">(F7+G7)*H7</f>
        <v>0</v>
      </c>
      <c r="J7" s="638">
        <f>J11+J15+J19+J23+J27+J31</f>
        <v>0</v>
      </c>
      <c r="K7" s="638">
        <f t="shared" ref="J7:Q9" si="3">K11+K15+K19+K23+K27+K31</f>
        <v>0</v>
      </c>
      <c r="L7" s="638">
        <f t="shared" si="3"/>
        <v>0</v>
      </c>
      <c r="M7" s="638">
        <f t="shared" si="3"/>
        <v>0</v>
      </c>
      <c r="N7" s="638">
        <f t="shared" si="3"/>
        <v>0</v>
      </c>
      <c r="O7" s="638">
        <f t="shared" si="3"/>
        <v>0</v>
      </c>
      <c r="P7" s="638">
        <f t="shared" si="3"/>
        <v>0</v>
      </c>
      <c r="Q7" s="638">
        <f>Q11+Q15+Q19+Q23+Q27+Q31</f>
        <v>0</v>
      </c>
    </row>
    <row r="8" spans="1:17" ht="15.75">
      <c r="B8" s="674" t="s">
        <v>977</v>
      </c>
      <c r="C8" s="638">
        <f>C12+C16+C20+C24+C28+C32</f>
        <v>0</v>
      </c>
      <c r="D8" s="638">
        <v>0</v>
      </c>
      <c r="E8" s="638">
        <v>0</v>
      </c>
      <c r="F8" s="638">
        <f t="shared" si="1"/>
        <v>0</v>
      </c>
      <c r="G8" s="638">
        <f t="shared" si="1"/>
        <v>0</v>
      </c>
      <c r="H8" s="675">
        <v>1.4</v>
      </c>
      <c r="I8" s="676">
        <f t="shared" si="2"/>
        <v>0</v>
      </c>
      <c r="J8" s="638">
        <f t="shared" si="3"/>
        <v>0</v>
      </c>
      <c r="K8" s="638">
        <f t="shared" si="3"/>
        <v>0</v>
      </c>
      <c r="L8" s="638">
        <f t="shared" si="3"/>
        <v>0</v>
      </c>
      <c r="M8" s="638">
        <f t="shared" si="3"/>
        <v>0</v>
      </c>
      <c r="N8" s="638">
        <f t="shared" si="3"/>
        <v>0</v>
      </c>
      <c r="O8" s="638">
        <f t="shared" si="3"/>
        <v>0</v>
      </c>
      <c r="P8" s="638">
        <f t="shared" si="3"/>
        <v>0</v>
      </c>
      <c r="Q8" s="638">
        <f>Q12+Q16+Q20+Q24+Q28+Q32</f>
        <v>0</v>
      </c>
    </row>
    <row r="9" spans="1:17" ht="15.75">
      <c r="B9" s="674" t="s">
        <v>978</v>
      </c>
      <c r="C9" s="638">
        <f>C13+C17+C21+C25+C29+C33</f>
        <v>0</v>
      </c>
      <c r="D9" s="638">
        <v>0</v>
      </c>
      <c r="E9" s="638">
        <v>0</v>
      </c>
      <c r="F9" s="638">
        <f t="shared" si="1"/>
        <v>0</v>
      </c>
      <c r="G9" s="638">
        <f t="shared" si="1"/>
        <v>0</v>
      </c>
      <c r="H9" s="675">
        <v>1.4</v>
      </c>
      <c r="I9" s="676">
        <f t="shared" si="2"/>
        <v>0</v>
      </c>
      <c r="J9" s="638">
        <f t="shared" si="3"/>
        <v>0</v>
      </c>
      <c r="K9" s="638">
        <f t="shared" si="3"/>
        <v>0</v>
      </c>
      <c r="L9" s="638">
        <f t="shared" si="3"/>
        <v>0</v>
      </c>
      <c r="M9" s="638">
        <f t="shared" si="3"/>
        <v>0</v>
      </c>
      <c r="N9" s="638">
        <f t="shared" si="3"/>
        <v>0</v>
      </c>
      <c r="O9" s="638">
        <f t="shared" si="3"/>
        <v>0</v>
      </c>
      <c r="P9" s="638">
        <f t="shared" si="3"/>
        <v>0</v>
      </c>
      <c r="Q9" s="638">
        <f t="shared" si="3"/>
        <v>0</v>
      </c>
    </row>
    <row r="10" spans="1:17" ht="15.75">
      <c r="B10" s="677" t="s">
        <v>989</v>
      </c>
      <c r="C10" s="678">
        <v>0</v>
      </c>
      <c r="D10" s="678">
        <v>0</v>
      </c>
      <c r="E10" s="678">
        <v>0</v>
      </c>
      <c r="F10" s="678">
        <v>0</v>
      </c>
      <c r="G10" s="678">
        <v>0</v>
      </c>
      <c r="H10" s="675">
        <v>1.4</v>
      </c>
      <c r="I10" s="676">
        <f t="shared" si="2"/>
        <v>0</v>
      </c>
      <c r="J10" s="679"/>
      <c r="K10" s="679"/>
      <c r="L10" s="679"/>
      <c r="M10" s="679"/>
      <c r="N10" s="679"/>
      <c r="O10" s="679"/>
      <c r="P10" s="679"/>
      <c r="Q10" s="638">
        <f>SUM(Q11:Q13)</f>
        <v>0</v>
      </c>
    </row>
    <row r="11" spans="1:17" ht="15.75">
      <c r="B11" s="680" t="s">
        <v>976</v>
      </c>
      <c r="C11" s="678">
        <v>0</v>
      </c>
      <c r="D11" s="678">
        <v>0</v>
      </c>
      <c r="E11" s="678">
        <v>0</v>
      </c>
      <c r="F11" s="678">
        <v>0</v>
      </c>
      <c r="G11" s="678">
        <v>0</v>
      </c>
      <c r="H11" s="675">
        <v>1.4</v>
      </c>
      <c r="I11" s="676">
        <f t="shared" si="2"/>
        <v>0</v>
      </c>
      <c r="J11" s="679"/>
      <c r="K11" s="679"/>
      <c r="L11" s="679"/>
      <c r="M11" s="679"/>
      <c r="N11" s="679"/>
      <c r="O11" s="679"/>
      <c r="P11" s="679"/>
      <c r="Q11" s="638">
        <f>SUMPRODUCT($J$5:$P$5,J11:P11)</f>
        <v>0</v>
      </c>
    </row>
    <row r="12" spans="1:17" ht="15.75">
      <c r="B12" s="680" t="s">
        <v>977</v>
      </c>
      <c r="C12" s="678">
        <v>0</v>
      </c>
      <c r="D12" s="678">
        <v>0</v>
      </c>
      <c r="E12" s="678">
        <v>0</v>
      </c>
      <c r="F12" s="678">
        <v>0</v>
      </c>
      <c r="G12" s="678">
        <v>0</v>
      </c>
      <c r="H12" s="675">
        <v>1.4</v>
      </c>
      <c r="I12" s="676">
        <f t="shared" si="2"/>
        <v>0</v>
      </c>
      <c r="J12" s="679"/>
      <c r="K12" s="679"/>
      <c r="L12" s="679"/>
      <c r="M12" s="679"/>
      <c r="N12" s="679"/>
      <c r="O12" s="679"/>
      <c r="P12" s="679"/>
      <c r="Q12" s="638">
        <f t="shared" ref="Q12:Q13" si="4">SUMPRODUCT($J$5:$P$5,J12:P12)</f>
        <v>0</v>
      </c>
    </row>
    <row r="13" spans="1:17" ht="15.75">
      <c r="B13" s="680" t="s">
        <v>978</v>
      </c>
      <c r="C13" s="678">
        <v>0</v>
      </c>
      <c r="D13" s="678">
        <v>0</v>
      </c>
      <c r="E13" s="678">
        <v>0</v>
      </c>
      <c r="F13" s="678">
        <v>0</v>
      </c>
      <c r="G13" s="678">
        <v>0</v>
      </c>
      <c r="H13" s="675">
        <v>1.4</v>
      </c>
      <c r="I13" s="676">
        <f t="shared" si="2"/>
        <v>0</v>
      </c>
      <c r="J13" s="679"/>
      <c r="K13" s="679"/>
      <c r="L13" s="679"/>
      <c r="M13" s="679"/>
      <c r="N13" s="679"/>
      <c r="O13" s="679"/>
      <c r="P13" s="679"/>
      <c r="Q13" s="638">
        <f t="shared" si="4"/>
        <v>0</v>
      </c>
    </row>
    <row r="14" spans="1:17" ht="15.75">
      <c r="B14" s="677" t="s">
        <v>990</v>
      </c>
      <c r="C14" s="678">
        <v>0</v>
      </c>
      <c r="D14" s="678">
        <v>0</v>
      </c>
      <c r="E14" s="678">
        <v>0</v>
      </c>
      <c r="F14" s="678">
        <v>0</v>
      </c>
      <c r="G14" s="678">
        <v>0</v>
      </c>
      <c r="H14" s="675">
        <v>1.4</v>
      </c>
      <c r="I14" s="676">
        <f t="shared" si="2"/>
        <v>0</v>
      </c>
      <c r="J14" s="679"/>
      <c r="K14" s="679"/>
      <c r="L14" s="679"/>
      <c r="M14" s="679"/>
      <c r="N14" s="679"/>
      <c r="O14" s="679"/>
      <c r="P14" s="679"/>
      <c r="Q14" s="638">
        <f>SUM(Q15:Q17)</f>
        <v>0</v>
      </c>
    </row>
    <row r="15" spans="1:17" ht="15.75">
      <c r="B15" s="680" t="s">
        <v>976</v>
      </c>
      <c r="C15" s="678">
        <v>0</v>
      </c>
      <c r="D15" s="678">
        <v>0</v>
      </c>
      <c r="E15" s="678">
        <v>0</v>
      </c>
      <c r="F15" s="678">
        <v>0</v>
      </c>
      <c r="G15" s="678">
        <v>0</v>
      </c>
      <c r="H15" s="675">
        <v>1.4</v>
      </c>
      <c r="I15" s="676">
        <f t="shared" si="2"/>
        <v>0</v>
      </c>
      <c r="J15" s="679"/>
      <c r="K15" s="679"/>
      <c r="L15" s="679"/>
      <c r="M15" s="679"/>
      <c r="N15" s="679"/>
      <c r="O15" s="679"/>
      <c r="P15" s="679"/>
      <c r="Q15" s="638">
        <f>SUMPRODUCT($J$5:$P$5,J15:P15)</f>
        <v>0</v>
      </c>
    </row>
    <row r="16" spans="1:17" ht="15.75">
      <c r="B16" s="680" t="s">
        <v>977</v>
      </c>
      <c r="C16" s="678">
        <v>0</v>
      </c>
      <c r="D16" s="678">
        <v>0</v>
      </c>
      <c r="E16" s="678">
        <v>0</v>
      </c>
      <c r="F16" s="678">
        <v>0</v>
      </c>
      <c r="G16" s="678">
        <v>0</v>
      </c>
      <c r="H16" s="675">
        <v>1.4</v>
      </c>
      <c r="I16" s="676">
        <f t="shared" si="2"/>
        <v>0</v>
      </c>
      <c r="J16" s="679"/>
      <c r="K16" s="679"/>
      <c r="L16" s="679"/>
      <c r="M16" s="679"/>
      <c r="N16" s="679"/>
      <c r="O16" s="679"/>
      <c r="P16" s="679"/>
      <c r="Q16" s="638">
        <f t="shared" ref="Q16:Q17" si="5">SUMPRODUCT($J$5:$P$5,J16:P16)</f>
        <v>0</v>
      </c>
    </row>
    <row r="17" spans="2:17" ht="15.75">
      <c r="B17" s="680" t="s">
        <v>978</v>
      </c>
      <c r="C17" s="678">
        <v>0</v>
      </c>
      <c r="D17" s="678">
        <v>0</v>
      </c>
      <c r="E17" s="678">
        <v>0</v>
      </c>
      <c r="F17" s="678">
        <v>0</v>
      </c>
      <c r="G17" s="678">
        <v>0</v>
      </c>
      <c r="H17" s="675">
        <v>1.4</v>
      </c>
      <c r="I17" s="676">
        <f t="shared" si="2"/>
        <v>0</v>
      </c>
      <c r="J17" s="679"/>
      <c r="K17" s="679"/>
      <c r="L17" s="679"/>
      <c r="M17" s="679"/>
      <c r="N17" s="679"/>
      <c r="O17" s="679"/>
      <c r="P17" s="679"/>
      <c r="Q17" s="638">
        <f t="shared" si="5"/>
        <v>0</v>
      </c>
    </row>
    <row r="18" spans="2:17" ht="15.75">
      <c r="B18" s="677" t="s">
        <v>991</v>
      </c>
      <c r="C18" s="678">
        <v>0</v>
      </c>
      <c r="D18" s="678">
        <v>0</v>
      </c>
      <c r="E18" s="678">
        <v>0</v>
      </c>
      <c r="F18" s="678">
        <v>0</v>
      </c>
      <c r="G18" s="678">
        <v>0</v>
      </c>
      <c r="H18" s="675">
        <v>1.4</v>
      </c>
      <c r="I18" s="676">
        <f t="shared" si="2"/>
        <v>0</v>
      </c>
      <c r="J18" s="679"/>
      <c r="K18" s="679"/>
      <c r="L18" s="679"/>
      <c r="M18" s="679"/>
      <c r="N18" s="679"/>
      <c r="O18" s="679"/>
      <c r="P18" s="679"/>
      <c r="Q18" s="638">
        <f>SUM(Q19:Q21)</f>
        <v>0</v>
      </c>
    </row>
    <row r="19" spans="2:17" ht="15.75">
      <c r="B19" s="680" t="s">
        <v>976</v>
      </c>
      <c r="C19" s="678">
        <v>0</v>
      </c>
      <c r="D19" s="678">
        <v>0</v>
      </c>
      <c r="E19" s="678">
        <v>0</v>
      </c>
      <c r="F19" s="678">
        <v>0</v>
      </c>
      <c r="G19" s="678">
        <v>0</v>
      </c>
      <c r="H19" s="675">
        <v>1.4</v>
      </c>
      <c r="I19" s="676">
        <f t="shared" si="2"/>
        <v>0</v>
      </c>
      <c r="J19" s="679"/>
      <c r="K19" s="679"/>
      <c r="L19" s="679"/>
      <c r="M19" s="679"/>
      <c r="N19" s="679"/>
      <c r="O19" s="679"/>
      <c r="P19" s="679"/>
      <c r="Q19" s="638">
        <f>SUMPRODUCT($J$5:$P$5,J19:P19)</f>
        <v>0</v>
      </c>
    </row>
    <row r="20" spans="2:17" ht="15.75">
      <c r="B20" s="680" t="s">
        <v>977</v>
      </c>
      <c r="C20" s="678">
        <v>0</v>
      </c>
      <c r="D20" s="678">
        <v>0</v>
      </c>
      <c r="E20" s="678">
        <v>0</v>
      </c>
      <c r="F20" s="678">
        <v>0</v>
      </c>
      <c r="G20" s="678">
        <v>0</v>
      </c>
      <c r="H20" s="675">
        <v>1.4</v>
      </c>
      <c r="I20" s="676">
        <f t="shared" si="2"/>
        <v>0</v>
      </c>
      <c r="J20" s="679"/>
      <c r="K20" s="679"/>
      <c r="L20" s="679"/>
      <c r="M20" s="679"/>
      <c r="N20" s="679"/>
      <c r="O20" s="679"/>
      <c r="P20" s="679"/>
      <c r="Q20" s="638">
        <f t="shared" ref="Q20:Q21" si="6">SUMPRODUCT($J$5:$P$5,J20:P20)</f>
        <v>0</v>
      </c>
    </row>
    <row r="21" spans="2:17" ht="15.75">
      <c r="B21" s="680" t="s">
        <v>978</v>
      </c>
      <c r="C21" s="678">
        <v>0</v>
      </c>
      <c r="D21" s="678">
        <v>0</v>
      </c>
      <c r="E21" s="678">
        <v>0</v>
      </c>
      <c r="F21" s="678">
        <v>0</v>
      </c>
      <c r="G21" s="678">
        <v>0</v>
      </c>
      <c r="H21" s="675">
        <v>1.4</v>
      </c>
      <c r="I21" s="676">
        <f t="shared" si="2"/>
        <v>0</v>
      </c>
      <c r="J21" s="679"/>
      <c r="K21" s="679"/>
      <c r="L21" s="679"/>
      <c r="M21" s="679"/>
      <c r="N21" s="679"/>
      <c r="O21" s="679"/>
      <c r="P21" s="679"/>
      <c r="Q21" s="638">
        <f t="shared" si="6"/>
        <v>0</v>
      </c>
    </row>
    <row r="22" spans="2:17" ht="15.75">
      <c r="B22" s="677" t="s">
        <v>992</v>
      </c>
      <c r="C22" s="678">
        <v>0</v>
      </c>
      <c r="D22" s="678">
        <v>0</v>
      </c>
      <c r="E22" s="678">
        <v>0</v>
      </c>
      <c r="F22" s="678">
        <v>0</v>
      </c>
      <c r="G22" s="678">
        <v>0</v>
      </c>
      <c r="H22" s="675">
        <v>1.4</v>
      </c>
      <c r="I22" s="676">
        <f t="shared" si="2"/>
        <v>0</v>
      </c>
      <c r="J22" s="679"/>
      <c r="K22" s="679"/>
      <c r="L22" s="679"/>
      <c r="M22" s="679"/>
      <c r="N22" s="679"/>
      <c r="O22" s="679"/>
      <c r="P22" s="679"/>
      <c r="Q22" s="638">
        <f>SUM(Q23:Q25)</f>
        <v>0</v>
      </c>
    </row>
    <row r="23" spans="2:17" ht="15.75">
      <c r="B23" s="680" t="s">
        <v>976</v>
      </c>
      <c r="C23" s="678">
        <v>0</v>
      </c>
      <c r="D23" s="678">
        <v>0</v>
      </c>
      <c r="E23" s="678">
        <v>0</v>
      </c>
      <c r="F23" s="678">
        <v>0</v>
      </c>
      <c r="G23" s="678">
        <v>0</v>
      </c>
      <c r="H23" s="675">
        <v>1.4</v>
      </c>
      <c r="I23" s="676">
        <f t="shared" si="2"/>
        <v>0</v>
      </c>
      <c r="J23" s="679"/>
      <c r="K23" s="679"/>
      <c r="L23" s="679"/>
      <c r="M23" s="679"/>
      <c r="N23" s="679"/>
      <c r="O23" s="679"/>
      <c r="P23" s="679"/>
      <c r="Q23" s="638">
        <f>SUMPRODUCT($J$5:$P$5,J23:P23)</f>
        <v>0</v>
      </c>
    </row>
    <row r="24" spans="2:17" ht="15.75">
      <c r="B24" s="680" t="s">
        <v>977</v>
      </c>
      <c r="C24" s="678">
        <v>0</v>
      </c>
      <c r="D24" s="678">
        <v>0</v>
      </c>
      <c r="E24" s="678">
        <v>0</v>
      </c>
      <c r="F24" s="678">
        <v>0</v>
      </c>
      <c r="G24" s="678">
        <v>0</v>
      </c>
      <c r="H24" s="675">
        <v>1.4</v>
      </c>
      <c r="I24" s="676">
        <f t="shared" si="2"/>
        <v>0</v>
      </c>
      <c r="J24" s="679"/>
      <c r="K24" s="679"/>
      <c r="L24" s="679"/>
      <c r="M24" s="679"/>
      <c r="N24" s="679"/>
      <c r="O24" s="679"/>
      <c r="P24" s="679"/>
      <c r="Q24" s="638">
        <f t="shared" ref="Q24:Q25" si="7">SUMPRODUCT($J$5:$P$5,J24:P24)</f>
        <v>0</v>
      </c>
    </row>
    <row r="25" spans="2:17" ht="15.75">
      <c r="B25" s="680" t="s">
        <v>978</v>
      </c>
      <c r="C25" s="678">
        <v>0</v>
      </c>
      <c r="D25" s="678">
        <v>0</v>
      </c>
      <c r="E25" s="678">
        <v>0</v>
      </c>
      <c r="F25" s="678">
        <v>0</v>
      </c>
      <c r="G25" s="678">
        <v>0</v>
      </c>
      <c r="H25" s="675">
        <v>1.4</v>
      </c>
      <c r="I25" s="676">
        <f t="shared" si="2"/>
        <v>0</v>
      </c>
      <c r="J25" s="679"/>
      <c r="K25" s="679"/>
      <c r="L25" s="679"/>
      <c r="M25" s="679"/>
      <c r="N25" s="679"/>
      <c r="O25" s="679"/>
      <c r="P25" s="679"/>
      <c r="Q25" s="638">
        <f t="shared" si="7"/>
        <v>0</v>
      </c>
    </row>
    <row r="26" spans="2:17" ht="15.75">
      <c r="B26" s="677" t="s">
        <v>993</v>
      </c>
      <c r="C26" s="678">
        <v>0</v>
      </c>
      <c r="D26" s="678">
        <v>0</v>
      </c>
      <c r="E26" s="678">
        <v>0</v>
      </c>
      <c r="F26" s="678">
        <v>0</v>
      </c>
      <c r="G26" s="678">
        <v>0</v>
      </c>
      <c r="H26" s="675">
        <v>1.4</v>
      </c>
      <c r="I26" s="676">
        <f t="shared" si="2"/>
        <v>0</v>
      </c>
      <c r="J26" s="679"/>
      <c r="K26" s="679"/>
      <c r="L26" s="679"/>
      <c r="M26" s="679"/>
      <c r="N26" s="679"/>
      <c r="O26" s="679"/>
      <c r="P26" s="679"/>
      <c r="Q26" s="638">
        <f>SUM(Q27:Q29)</f>
        <v>0</v>
      </c>
    </row>
    <row r="27" spans="2:17" ht="15.75">
      <c r="B27" s="680" t="s">
        <v>976</v>
      </c>
      <c r="C27" s="678">
        <v>0</v>
      </c>
      <c r="D27" s="678">
        <v>0</v>
      </c>
      <c r="E27" s="678">
        <v>0</v>
      </c>
      <c r="F27" s="678">
        <v>0</v>
      </c>
      <c r="G27" s="678">
        <v>0</v>
      </c>
      <c r="H27" s="675">
        <v>1.4</v>
      </c>
      <c r="I27" s="676">
        <f t="shared" si="2"/>
        <v>0</v>
      </c>
      <c r="J27" s="679"/>
      <c r="K27" s="679"/>
      <c r="L27" s="679"/>
      <c r="M27" s="679"/>
      <c r="N27" s="679"/>
      <c r="O27" s="679"/>
      <c r="P27" s="679"/>
      <c r="Q27" s="638">
        <f>SUMPRODUCT($J$5:$P$5,J27:P27)</f>
        <v>0</v>
      </c>
    </row>
    <row r="28" spans="2:17" ht="15.75">
      <c r="B28" s="680" t="s">
        <v>977</v>
      </c>
      <c r="C28" s="678">
        <v>0</v>
      </c>
      <c r="D28" s="678">
        <v>0</v>
      </c>
      <c r="E28" s="678">
        <v>0</v>
      </c>
      <c r="F28" s="678">
        <v>0</v>
      </c>
      <c r="G28" s="678">
        <v>0</v>
      </c>
      <c r="H28" s="675">
        <v>1.4</v>
      </c>
      <c r="I28" s="676">
        <f t="shared" si="2"/>
        <v>0</v>
      </c>
      <c r="J28" s="679"/>
      <c r="K28" s="679"/>
      <c r="L28" s="679"/>
      <c r="M28" s="679"/>
      <c r="N28" s="679"/>
      <c r="O28" s="679"/>
      <c r="P28" s="679"/>
      <c r="Q28" s="638">
        <f t="shared" ref="Q28:Q29" si="8">SUMPRODUCT($J$5:$P$5,J28:P28)</f>
        <v>0</v>
      </c>
    </row>
    <row r="29" spans="2:17" ht="15.75">
      <c r="B29" s="680" t="s">
        <v>978</v>
      </c>
      <c r="C29" s="678">
        <v>0</v>
      </c>
      <c r="D29" s="678">
        <v>0</v>
      </c>
      <c r="E29" s="678">
        <v>0</v>
      </c>
      <c r="F29" s="678">
        <v>0</v>
      </c>
      <c r="G29" s="678">
        <v>0</v>
      </c>
      <c r="H29" s="675">
        <v>1.4</v>
      </c>
      <c r="I29" s="676">
        <f t="shared" si="2"/>
        <v>0</v>
      </c>
      <c r="J29" s="679"/>
      <c r="K29" s="679"/>
      <c r="L29" s="679"/>
      <c r="M29" s="679"/>
      <c r="N29" s="679"/>
      <c r="O29" s="679"/>
      <c r="P29" s="679"/>
      <c r="Q29" s="638">
        <f t="shared" si="8"/>
        <v>0</v>
      </c>
    </row>
    <row r="30" spans="2:17" ht="15.75">
      <c r="B30" s="681" t="s">
        <v>994</v>
      </c>
      <c r="C30" s="678">
        <v>0</v>
      </c>
      <c r="D30" s="678">
        <v>0</v>
      </c>
      <c r="E30" s="678">
        <v>0</v>
      </c>
      <c r="F30" s="678">
        <v>0</v>
      </c>
      <c r="G30" s="678">
        <v>0</v>
      </c>
      <c r="H30" s="675">
        <v>1.4</v>
      </c>
      <c r="I30" s="676">
        <f t="shared" si="2"/>
        <v>0</v>
      </c>
      <c r="J30" s="679"/>
      <c r="K30" s="679"/>
      <c r="L30" s="679"/>
      <c r="M30" s="679"/>
      <c r="N30" s="679"/>
      <c r="O30" s="679"/>
      <c r="P30" s="679"/>
      <c r="Q30" s="638">
        <f>SUM(Q31:Q33)</f>
        <v>0</v>
      </c>
    </row>
    <row r="31" spans="2:17" ht="15.75">
      <c r="B31" s="680" t="s">
        <v>976</v>
      </c>
      <c r="C31" s="678">
        <v>0</v>
      </c>
      <c r="D31" s="678">
        <v>0</v>
      </c>
      <c r="E31" s="678">
        <v>0</v>
      </c>
      <c r="F31" s="678">
        <v>0</v>
      </c>
      <c r="G31" s="678">
        <v>0</v>
      </c>
      <c r="H31" s="675">
        <v>1.4</v>
      </c>
      <c r="I31" s="676">
        <f t="shared" si="2"/>
        <v>0</v>
      </c>
      <c r="J31" s="679"/>
      <c r="K31" s="679"/>
      <c r="L31" s="679"/>
      <c r="M31" s="679"/>
      <c r="N31" s="679"/>
      <c r="O31" s="679"/>
      <c r="P31" s="679"/>
      <c r="Q31" s="638">
        <f>SUMPRODUCT($J$5:$P$5,J31:P31)</f>
        <v>0</v>
      </c>
    </row>
    <row r="32" spans="2:17" ht="15.75">
      <c r="B32" s="680" t="s">
        <v>977</v>
      </c>
      <c r="C32" s="678">
        <v>0</v>
      </c>
      <c r="D32" s="678">
        <v>0</v>
      </c>
      <c r="E32" s="678">
        <v>0</v>
      </c>
      <c r="F32" s="678">
        <v>0</v>
      </c>
      <c r="G32" s="678">
        <v>0</v>
      </c>
      <c r="H32" s="675">
        <v>1.4</v>
      </c>
      <c r="I32" s="676">
        <f t="shared" si="2"/>
        <v>0</v>
      </c>
      <c r="J32" s="679"/>
      <c r="K32" s="679"/>
      <c r="L32" s="679"/>
      <c r="M32" s="679"/>
      <c r="N32" s="679"/>
      <c r="O32" s="679"/>
      <c r="P32" s="679"/>
      <c r="Q32" s="638">
        <f t="shared" ref="Q32:Q33" si="9">SUMPRODUCT($J$5:$P$5,J32:P32)</f>
        <v>0</v>
      </c>
    </row>
    <row r="33" spans="2:17" ht="15.75">
      <c r="B33" s="680" t="s">
        <v>978</v>
      </c>
      <c r="C33" s="678">
        <v>0</v>
      </c>
      <c r="D33" s="678">
        <v>0</v>
      </c>
      <c r="E33" s="678">
        <v>0</v>
      </c>
      <c r="F33" s="678">
        <v>0</v>
      </c>
      <c r="G33" s="678">
        <v>0</v>
      </c>
      <c r="H33" s="675">
        <v>1.4</v>
      </c>
      <c r="I33" s="676">
        <f t="shared" si="2"/>
        <v>0</v>
      </c>
      <c r="J33" s="679"/>
      <c r="K33" s="679"/>
      <c r="L33" s="679"/>
      <c r="M33" s="679"/>
      <c r="N33" s="679"/>
      <c r="O33" s="679"/>
      <c r="P33" s="679"/>
      <c r="Q33" s="638">
        <f t="shared" si="9"/>
        <v>0</v>
      </c>
    </row>
    <row r="34" spans="2:17" ht="15.75">
      <c r="B34" s="682" t="s">
        <v>66</v>
      </c>
      <c r="C34" s="683" t="b">
        <f>C6</f>
        <v>0</v>
      </c>
      <c r="D34" s="683" t="b">
        <f t="shared" ref="D34:G34" si="10">D6</f>
        <v>0</v>
      </c>
      <c r="E34" s="683" t="b">
        <f t="shared" si="10"/>
        <v>0</v>
      </c>
      <c r="F34" s="683" t="b">
        <f t="shared" si="10"/>
        <v>0</v>
      </c>
      <c r="G34" s="683" t="b">
        <f t="shared" si="10"/>
        <v>0</v>
      </c>
      <c r="H34" s="675">
        <v>1.4</v>
      </c>
      <c r="I34" s="676">
        <f>(F34+G34)*H34</f>
        <v>0</v>
      </c>
      <c r="J34" s="683" t="b">
        <f t="shared" ref="J34:Q34" si="11">J6</f>
        <v>0</v>
      </c>
      <c r="K34" s="683" t="b">
        <f t="shared" si="11"/>
        <v>0</v>
      </c>
      <c r="L34" s="683" t="b">
        <f t="shared" si="11"/>
        <v>0</v>
      </c>
      <c r="M34" s="683" t="b">
        <f t="shared" si="11"/>
        <v>0</v>
      </c>
      <c r="N34" s="683" t="b">
        <f t="shared" si="11"/>
        <v>0</v>
      </c>
      <c r="O34" s="683" t="b">
        <f t="shared" si="11"/>
        <v>0</v>
      </c>
      <c r="P34" s="683" t="b">
        <f t="shared" si="11"/>
        <v>0</v>
      </c>
      <c r="Q34" s="683"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3"/>
  <sheetViews>
    <sheetView zoomScale="80" zoomScaleNormal="80" workbookViewId="0">
      <pane xSplit="1" ySplit="5" topLeftCell="B6" activePane="bottomRight" state="frozen"/>
      <selection pane="topRight" activeCell="B1" sqref="B1"/>
      <selection pane="bottomLeft" activeCell="A6" sqref="A6"/>
      <selection pane="bottomRight" activeCell="B6" sqref="B6"/>
    </sheetView>
  </sheetViews>
  <sheetFormatPr defaultRowHeight="15.75"/>
  <cols>
    <col min="1" max="1" width="9.5703125" style="19" bestFit="1" customWidth="1"/>
    <col min="2" max="2" width="88.28515625" style="16" customWidth="1"/>
    <col min="3" max="3" width="12.7109375" style="16" customWidth="1"/>
    <col min="4" max="7" width="12.7109375" style="2" customWidth="1"/>
    <col min="8" max="9" width="6.7109375" customWidth="1"/>
  </cols>
  <sheetData>
    <row r="1" spans="1:8">
      <c r="A1" s="17" t="s">
        <v>97</v>
      </c>
      <c r="B1" s="267" t="str">
        <f>Info!C2</f>
        <v>სს "ვითიბი ბანკი ჯორჯია"</v>
      </c>
    </row>
    <row r="2" spans="1:8">
      <c r="A2" s="17" t="s">
        <v>98</v>
      </c>
      <c r="B2" s="295">
        <v>45930</v>
      </c>
      <c r="C2" s="28"/>
      <c r="D2" s="18"/>
      <c r="E2" s="18"/>
      <c r="F2" s="18"/>
      <c r="G2" s="18"/>
      <c r="H2" s="1"/>
    </row>
    <row r="3" spans="1:8" ht="16.5" thickBot="1">
      <c r="A3" s="17"/>
      <c r="C3" s="28"/>
      <c r="D3" s="18"/>
      <c r="E3" s="18"/>
      <c r="F3" s="18"/>
      <c r="G3" s="18"/>
      <c r="H3" s="1"/>
    </row>
    <row r="4" spans="1:8" ht="15" customHeight="1" thickBot="1">
      <c r="A4" s="37" t="s">
        <v>241</v>
      </c>
      <c r="B4" s="125" t="s">
        <v>128</v>
      </c>
      <c r="C4" s="126"/>
      <c r="D4" s="816" t="s">
        <v>904</v>
      </c>
      <c r="E4" s="817"/>
      <c r="F4" s="817"/>
      <c r="G4" s="818"/>
      <c r="H4" s="1"/>
    </row>
    <row r="5" spans="1:8" ht="15">
      <c r="A5" s="181" t="s">
        <v>25</v>
      </c>
      <c r="B5" s="182"/>
      <c r="C5" s="285" t="str">
        <f>INT((MONTH($B$2))/3)&amp;"Q"&amp;"-"&amp;YEAR($B$2)</f>
        <v>3Q-2025</v>
      </c>
      <c r="D5" s="285" t="str">
        <f>IF(INT(MONTH($B$2))=3, "4"&amp;"Q"&amp;"-"&amp;YEAR($B$2)-1, IF(INT(MONTH($B$2))=6, "1"&amp;"Q"&amp;"-"&amp;YEAR($B$2), IF(INT(MONTH($B$2))=9, "2"&amp;"Q"&amp;"-"&amp;YEAR($B$2),IF(INT(MONTH($B$2))=12, "3"&amp;"Q"&amp;"-"&amp;YEAR($B$2), 0))))</f>
        <v>2Q-2025</v>
      </c>
      <c r="E5" s="285" t="str">
        <f>IF(INT(MONTH($B$2))=3, "3"&amp;"Q"&amp;"-"&amp;YEAR($B$2)-1, IF(INT(MONTH($B$2))=6, "4"&amp;"Q"&amp;"-"&amp;YEAR($B$2)-1, IF(INT(MONTH($B$2))=9, "1"&amp;"Q"&amp;"-"&amp;YEAR($B$2),IF(INT(MONTH($B$2))=12, "2"&amp;"Q"&amp;"-"&amp;YEAR($B$2), 0))))</f>
        <v>1Q-2025</v>
      </c>
      <c r="F5" s="285" t="str">
        <f>IF(INT(MONTH($B$2))=3, "2"&amp;"Q"&amp;"-"&amp;YEAR($B$2)-1, IF(INT(MONTH($B$2))=6, "3"&amp;"Q"&amp;"-"&amp;YEAR($B$2)-1, IF(INT(MONTH($B$2))=9, "4"&amp;"Q"&amp;"-"&amp;YEAR($B$2)-1,IF(INT(MONTH($B$2))=12, "1"&amp;"Q"&amp;"-"&amp;YEAR($B$2), 0))))</f>
        <v>4Q-2024</v>
      </c>
      <c r="G5" s="286" t="str">
        <f>IF(INT(MONTH($B$2))=3, "1"&amp;"Q"&amp;"-"&amp;YEAR($B$2)-1, IF(INT(MONTH($B$2))=6, "2"&amp;"Q"&amp;"-"&amp;YEAR($B$2)-1, IF(INT(MONTH($B$2))=9, "3"&amp;"Q"&amp;"-"&amp;YEAR($B$2)-1,IF(INT(MONTH($B$2))=12, "4"&amp;"Q"&amp;"-"&amp;YEAR($B$2)-1, 0))))</f>
        <v>3Q-2024</v>
      </c>
    </row>
    <row r="6" spans="1:8" ht="15">
      <c r="A6" s="287"/>
      <c r="B6" s="288" t="s">
        <v>95</v>
      </c>
      <c r="C6" s="183"/>
      <c r="D6" s="183"/>
      <c r="E6" s="183"/>
      <c r="F6" s="183"/>
      <c r="G6" s="184"/>
    </row>
    <row r="7" spans="1:8" ht="15">
      <c r="A7" s="287"/>
      <c r="B7" s="289" t="s">
        <v>99</v>
      </c>
      <c r="C7" s="183"/>
      <c r="D7" s="183"/>
      <c r="E7" s="183"/>
      <c r="F7" s="183"/>
      <c r="G7" s="184"/>
    </row>
    <row r="8" spans="1:8" ht="15">
      <c r="A8" s="271">
        <v>1</v>
      </c>
      <c r="B8" s="272" t="s">
        <v>22</v>
      </c>
      <c r="C8" s="687">
        <v>220785189.54756331</v>
      </c>
      <c r="D8" s="690">
        <v>215316541.1730147</v>
      </c>
      <c r="E8" s="690">
        <v>227571035.38426289</v>
      </c>
      <c r="F8" s="690">
        <v>273905730.98415458</v>
      </c>
      <c r="G8" s="691">
        <v>261844574.34</v>
      </c>
    </row>
    <row r="9" spans="1:8" ht="15">
      <c r="A9" s="271">
        <v>2</v>
      </c>
      <c r="B9" s="272" t="s">
        <v>75</v>
      </c>
      <c r="C9" s="687">
        <v>276171189.54756331</v>
      </c>
      <c r="D9" s="690">
        <v>274151841.1730147</v>
      </c>
      <c r="E9" s="690">
        <v>283625135.38426292</v>
      </c>
      <c r="F9" s="690">
        <v>317094230.98415458</v>
      </c>
      <c r="G9" s="691">
        <v>311822874.34000003</v>
      </c>
    </row>
    <row r="10" spans="1:8" ht="15">
      <c r="A10" s="271">
        <v>3</v>
      </c>
      <c r="B10" s="272" t="s">
        <v>74</v>
      </c>
      <c r="C10" s="687">
        <v>326026508.7733233</v>
      </c>
      <c r="D10" s="690">
        <v>333743974.9771347</v>
      </c>
      <c r="E10" s="690">
        <v>339314192.98426294</v>
      </c>
      <c r="F10" s="690">
        <v>359173851.78691459</v>
      </c>
      <c r="G10" s="691">
        <v>372799961.66676003</v>
      </c>
    </row>
    <row r="11" spans="1:8" ht="15">
      <c r="A11" s="271">
        <v>4</v>
      </c>
      <c r="B11" s="272" t="s">
        <v>414</v>
      </c>
      <c r="C11" s="687">
        <v>114417141.59921861</v>
      </c>
      <c r="D11" s="690">
        <v>118031628.88576123</v>
      </c>
      <c r="E11" s="690">
        <v>120682713.26498392</v>
      </c>
      <c r="F11" s="690">
        <v>123009203.22464246</v>
      </c>
      <c r="G11" s="691">
        <v>126379579.22092749</v>
      </c>
    </row>
    <row r="12" spans="1:8" ht="15">
      <c r="A12" s="271">
        <v>5</v>
      </c>
      <c r="B12" s="272" t="s">
        <v>415</v>
      </c>
      <c r="C12" s="687">
        <v>128842775.84985498</v>
      </c>
      <c r="D12" s="690">
        <v>133079542.9835466</v>
      </c>
      <c r="E12" s="690">
        <v>136469631.6243096</v>
      </c>
      <c r="F12" s="690">
        <v>139125474.54113606</v>
      </c>
      <c r="G12" s="691">
        <v>143758813.82397807</v>
      </c>
    </row>
    <row r="13" spans="1:8" ht="15">
      <c r="A13" s="271">
        <v>6</v>
      </c>
      <c r="B13" s="272" t="s">
        <v>416</v>
      </c>
      <c r="C13" s="687">
        <v>147953546.30314407</v>
      </c>
      <c r="D13" s="690">
        <v>153013486.9270075</v>
      </c>
      <c r="E13" s="690">
        <v>157381095.71818882</v>
      </c>
      <c r="F13" s="690">
        <v>160472755.19855791</v>
      </c>
      <c r="G13" s="691">
        <v>166780075.28750151</v>
      </c>
    </row>
    <row r="14" spans="1:8" ht="15">
      <c r="A14" s="287"/>
      <c r="B14" s="288" t="s">
        <v>418</v>
      </c>
      <c r="C14" s="183"/>
      <c r="D14" s="183"/>
      <c r="E14" s="183"/>
      <c r="F14" s="183"/>
      <c r="G14" s="184"/>
    </row>
    <row r="15" spans="1:8" ht="22.15" customHeight="1">
      <c r="A15" s="271">
        <v>7</v>
      </c>
      <c r="B15" s="272" t="s">
        <v>417</v>
      </c>
      <c r="C15" s="688">
        <v>492756469.31668466</v>
      </c>
      <c r="D15" s="690">
        <v>509416496.22447902</v>
      </c>
      <c r="E15" s="690">
        <v>528971760.11256492</v>
      </c>
      <c r="F15" s="690">
        <v>538309915.73493481</v>
      </c>
      <c r="G15" s="691">
        <v>584620546.1363045</v>
      </c>
    </row>
    <row r="16" spans="1:8" ht="15">
      <c r="A16" s="287"/>
      <c r="B16" s="288" t="s">
        <v>421</v>
      </c>
      <c r="C16" s="183"/>
      <c r="D16" s="183"/>
      <c r="E16" s="183"/>
      <c r="F16" s="183"/>
      <c r="G16" s="184"/>
    </row>
    <row r="17" spans="1:7" s="3" customFormat="1" ht="15">
      <c r="A17" s="271"/>
      <c r="B17" s="289" t="s">
        <v>967</v>
      </c>
      <c r="C17" s="183"/>
      <c r="D17" s="183"/>
      <c r="E17" s="183"/>
      <c r="F17" s="183"/>
      <c r="G17" s="184"/>
    </row>
    <row r="18" spans="1:7" ht="15">
      <c r="A18" s="270">
        <v>8</v>
      </c>
      <c r="B18" s="290" t="s">
        <v>412</v>
      </c>
      <c r="C18" s="692">
        <v>0.44806147315271294</v>
      </c>
      <c r="D18" s="693">
        <v>0.42267288705572953</v>
      </c>
      <c r="E18" s="693">
        <v>0.43021395950482477</v>
      </c>
      <c r="F18" s="693">
        <v>0.50882534944614777</v>
      </c>
      <c r="G18" s="694">
        <v>0.48641974945327393</v>
      </c>
    </row>
    <row r="19" spans="1:7" ht="15" customHeight="1">
      <c r="A19" s="270">
        <v>9</v>
      </c>
      <c r="B19" s="290" t="s">
        <v>411</v>
      </c>
      <c r="C19" s="692">
        <v>0.56046182393208455</v>
      </c>
      <c r="D19" s="693">
        <v>0.53816836165471793</v>
      </c>
      <c r="E19" s="693">
        <v>0.53618199830536817</v>
      </c>
      <c r="F19" s="693">
        <v>0.58905515524683849</v>
      </c>
      <c r="G19" s="694">
        <v>0.57926273550855867</v>
      </c>
    </row>
    <row r="20" spans="1:7" ht="15">
      <c r="A20" s="270">
        <v>10</v>
      </c>
      <c r="B20" s="290" t="s">
        <v>413</v>
      </c>
      <c r="C20" s="692">
        <v>0.66163821091061648</v>
      </c>
      <c r="D20" s="693">
        <v>0.65514952391739467</v>
      </c>
      <c r="E20" s="693">
        <v>0.64145993901840248</v>
      </c>
      <c r="F20" s="693">
        <v>0.66722503392222987</v>
      </c>
      <c r="G20" s="694">
        <v>0.69253779425145812</v>
      </c>
    </row>
    <row r="21" spans="1:7" ht="15">
      <c r="A21" s="270">
        <v>11</v>
      </c>
      <c r="B21" s="272" t="s">
        <v>414</v>
      </c>
      <c r="C21" s="692">
        <v>0.23219815207679195</v>
      </c>
      <c r="D21" s="693">
        <v>0.2316996598275638</v>
      </c>
      <c r="E21" s="693">
        <v>0.22814585269977872</v>
      </c>
      <c r="F21" s="693">
        <v>0.22851000813667438</v>
      </c>
      <c r="G21" s="694">
        <v>0.23477104085735831</v>
      </c>
    </row>
    <row r="22" spans="1:7" ht="15">
      <c r="A22" s="270">
        <v>12</v>
      </c>
      <c r="B22" s="272" t="s">
        <v>415</v>
      </c>
      <c r="C22" s="692">
        <v>0.26147353484475577</v>
      </c>
      <c r="D22" s="693">
        <v>0.26123917063907542</v>
      </c>
      <c r="E22" s="693">
        <v>0.25799039176546767</v>
      </c>
      <c r="F22" s="693">
        <v>0.25844865657210336</v>
      </c>
      <c r="G22" s="694">
        <v>0.26705585318395897</v>
      </c>
    </row>
    <row r="23" spans="1:7" ht="15">
      <c r="A23" s="270">
        <v>13</v>
      </c>
      <c r="B23" s="272" t="s">
        <v>416</v>
      </c>
      <c r="C23" s="692">
        <v>0.30025693322365554</v>
      </c>
      <c r="D23" s="693">
        <v>0.30037010591738023</v>
      </c>
      <c r="E23" s="693">
        <v>0.29752268000979526</v>
      </c>
      <c r="F23" s="693">
        <v>0.29810477293450993</v>
      </c>
      <c r="G23" s="694">
        <v>0.30982166668767896</v>
      </c>
    </row>
    <row r="24" spans="1:7" ht="25.5">
      <c r="A24" s="287"/>
      <c r="B24" s="288" t="s">
        <v>952</v>
      </c>
      <c r="C24" s="183"/>
      <c r="D24" s="183"/>
      <c r="E24" s="183"/>
      <c r="F24" s="183"/>
      <c r="G24" s="184"/>
    </row>
    <row r="25" spans="1:7" ht="25.5">
      <c r="A25" s="270">
        <v>14</v>
      </c>
      <c r="B25" s="290" t="s">
        <v>953</v>
      </c>
      <c r="C25" s="692"/>
      <c r="D25" s="693"/>
      <c r="E25" s="693"/>
      <c r="F25" s="693"/>
      <c r="G25" s="694"/>
    </row>
    <row r="26" spans="1:7" ht="15">
      <c r="A26" s="287"/>
      <c r="B26" s="288" t="s">
        <v>6</v>
      </c>
      <c r="C26" s="183"/>
      <c r="D26" s="183"/>
      <c r="E26" s="183"/>
      <c r="F26" s="183"/>
      <c r="G26" s="184"/>
    </row>
    <row r="27" spans="1:7" ht="15" customHeight="1">
      <c r="A27" s="291">
        <v>15</v>
      </c>
      <c r="B27" s="292" t="s">
        <v>7</v>
      </c>
      <c r="C27" s="695">
        <v>3.0449502520937814E-2</v>
      </c>
      <c r="D27" s="695">
        <v>3.2835555902460178E-2</v>
      </c>
      <c r="E27" s="695">
        <v>3.1603000078961226E-2</v>
      </c>
      <c r="F27" s="695">
        <v>3.6875423555608293E-2</v>
      </c>
      <c r="G27" s="696">
        <v>3.7653832321756439E-2</v>
      </c>
    </row>
    <row r="28" spans="1:7" ht="15">
      <c r="A28" s="291">
        <v>16</v>
      </c>
      <c r="B28" s="292" t="s">
        <v>8</v>
      </c>
      <c r="C28" s="695">
        <v>2.2537215151765072E-2</v>
      </c>
      <c r="D28" s="695">
        <v>2.2341451596138442E-2</v>
      </c>
      <c r="E28" s="695">
        <v>2.1355678673267414E-2</v>
      </c>
      <c r="F28" s="695">
        <v>2.0305401662221289E-2</v>
      </c>
      <c r="G28" s="696">
        <v>2.0960224051435192E-2</v>
      </c>
    </row>
    <row r="29" spans="1:7" ht="15">
      <c r="A29" s="291">
        <v>17</v>
      </c>
      <c r="B29" s="292" t="s">
        <v>9</v>
      </c>
      <c r="C29" s="695">
        <v>2.0821428767448087E-2</v>
      </c>
      <c r="D29" s="695">
        <v>0.16799840608693248</v>
      </c>
      <c r="E29" s="695">
        <v>0.27609330896165413</v>
      </c>
      <c r="F29" s="695">
        <v>-3.8225641395707333E-2</v>
      </c>
      <c r="G29" s="696">
        <v>-5.0625280536869509E-3</v>
      </c>
    </row>
    <row r="30" spans="1:7" ht="15">
      <c r="A30" s="291">
        <v>18</v>
      </c>
      <c r="B30" s="292" t="s">
        <v>129</v>
      </c>
      <c r="C30" s="695">
        <v>7.9122873691727415E-3</v>
      </c>
      <c r="D30" s="695">
        <v>1.0494104306321738E-2</v>
      </c>
      <c r="E30" s="695">
        <v>1.0247321405693812E-2</v>
      </c>
      <c r="F30" s="695">
        <v>1.6570021893387004E-2</v>
      </c>
      <c r="G30" s="696">
        <v>1.6693608270321247E-2</v>
      </c>
    </row>
    <row r="31" spans="1:7" ht="15">
      <c r="A31" s="291">
        <v>19</v>
      </c>
      <c r="B31" s="292" t="s">
        <v>10</v>
      </c>
      <c r="C31" s="695">
        <v>-0.1225321728237438</v>
      </c>
      <c r="D31" s="695">
        <v>-0.19159884987417394</v>
      </c>
      <c r="E31" s="695">
        <v>-0.29700827888298537</v>
      </c>
      <c r="F31" s="695">
        <v>2.0577830953774003E-2</v>
      </c>
      <c r="G31" s="696">
        <v>-1.2986292849792808E-3</v>
      </c>
    </row>
    <row r="32" spans="1:7" ht="15">
      <c r="A32" s="291">
        <v>20</v>
      </c>
      <c r="B32" s="292" t="s">
        <v>11</v>
      </c>
      <c r="C32" s="695">
        <v>-0.18388419297292002</v>
      </c>
      <c r="D32" s="695">
        <v>-0.28483275794593982</v>
      </c>
      <c r="E32" s="695">
        <v>-0.42989830915196048</v>
      </c>
      <c r="F32" s="695">
        <v>2.8894368932893936E-2</v>
      </c>
      <c r="G32" s="696">
        <v>-1.837508261185187E-3</v>
      </c>
    </row>
    <row r="33" spans="1:7" ht="15">
      <c r="A33" s="287"/>
      <c r="B33" s="288" t="s">
        <v>12</v>
      </c>
      <c r="C33" s="697"/>
      <c r="D33" s="697"/>
      <c r="E33" s="697"/>
      <c r="F33" s="697"/>
      <c r="G33" s="698"/>
    </row>
    <row r="34" spans="1:7" ht="15">
      <c r="A34" s="291">
        <v>21</v>
      </c>
      <c r="B34" s="292" t="s">
        <v>13</v>
      </c>
      <c r="C34" s="695">
        <v>0.16037480931261741</v>
      </c>
      <c r="D34" s="695">
        <v>0.13780979538154459</v>
      </c>
      <c r="E34" s="695">
        <v>0.11884958310125479</v>
      </c>
      <c r="F34" s="695">
        <v>0.59976146999008251</v>
      </c>
      <c r="G34" s="696">
        <v>0.57101272130798897</v>
      </c>
    </row>
    <row r="35" spans="1:7" ht="15" customHeight="1">
      <c r="A35" s="291">
        <v>22</v>
      </c>
      <c r="B35" s="292" t="s">
        <v>917</v>
      </c>
      <c r="C35" s="695">
        <v>0.16415743743478284</v>
      </c>
      <c r="D35" s="695">
        <v>0.14103161704484155</v>
      </c>
      <c r="E35" s="695">
        <v>0.12100436158249414</v>
      </c>
      <c r="F35" s="695">
        <v>0.11935570888038549</v>
      </c>
      <c r="G35" s="696">
        <v>8.6704743945984736E-2</v>
      </c>
    </row>
    <row r="36" spans="1:7" ht="15">
      <c r="A36" s="291">
        <v>23</v>
      </c>
      <c r="B36" s="292" t="s">
        <v>14</v>
      </c>
      <c r="C36" s="695">
        <v>0.63361364494246364</v>
      </c>
      <c r="D36" s="695">
        <v>0.6529923632859026</v>
      </c>
      <c r="E36" s="695">
        <v>0.6545354954850463</v>
      </c>
      <c r="F36" s="695">
        <v>0.6207562066979373</v>
      </c>
      <c r="G36" s="696">
        <v>0.61976173574193572</v>
      </c>
    </row>
    <row r="37" spans="1:7" ht="15" customHeight="1">
      <c r="A37" s="291">
        <v>24</v>
      </c>
      <c r="B37" s="292" t="s">
        <v>15</v>
      </c>
      <c r="C37" s="695">
        <v>0.41896163034402828</v>
      </c>
      <c r="D37" s="695">
        <v>0.43308618032303936</v>
      </c>
      <c r="E37" s="695">
        <v>0.43692892270833783</v>
      </c>
      <c r="F37" s="695">
        <v>0.43992230030589075</v>
      </c>
      <c r="G37" s="696">
        <v>0.43253312969769658</v>
      </c>
    </row>
    <row r="38" spans="1:7" ht="15">
      <c r="A38" s="291">
        <v>25</v>
      </c>
      <c r="B38" s="292" t="s">
        <v>16</v>
      </c>
      <c r="C38" s="695">
        <v>-0.17802989535880412</v>
      </c>
      <c r="D38" s="695">
        <v>-0.14308363260619505</v>
      </c>
      <c r="E38" s="695">
        <v>-4.3567704909753181E-2</v>
      </c>
      <c r="F38" s="695">
        <v>-7.3328480456393272E-2</v>
      </c>
      <c r="G38" s="696">
        <v>-6.168703645023333E-2</v>
      </c>
    </row>
    <row r="39" spans="1:7" ht="15" customHeight="1">
      <c r="A39" s="287"/>
      <c r="B39" s="288" t="s">
        <v>17</v>
      </c>
      <c r="C39" s="697"/>
      <c r="D39" s="697"/>
      <c r="E39" s="697"/>
      <c r="F39" s="697"/>
      <c r="G39" s="698"/>
    </row>
    <row r="40" spans="1:7" ht="15" customHeight="1">
      <c r="A40" s="291">
        <v>26</v>
      </c>
      <c r="B40" s="292" t="s">
        <v>18</v>
      </c>
      <c r="C40" s="699">
        <v>0.42786597370883067</v>
      </c>
      <c r="D40" s="699">
        <v>0.39038614860592646</v>
      </c>
      <c r="E40" s="699">
        <v>0.36356398272366908</v>
      </c>
      <c r="F40" s="699">
        <v>0.36246380437126119</v>
      </c>
      <c r="G40" s="700">
        <v>0.34233655635928922</v>
      </c>
    </row>
    <row r="41" spans="1:7" ht="15" customHeight="1">
      <c r="A41" s="291">
        <v>27</v>
      </c>
      <c r="B41" s="292" t="s">
        <v>19</v>
      </c>
      <c r="C41" s="699">
        <v>0.90518325360737684</v>
      </c>
      <c r="D41" s="699">
        <v>0.91056092155928992</v>
      </c>
      <c r="E41" s="699">
        <v>0.89363887458620117</v>
      </c>
      <c r="F41" s="699">
        <v>0.86791951088615282</v>
      </c>
      <c r="G41" s="700">
        <v>0.87100707822770651</v>
      </c>
    </row>
    <row r="42" spans="1:7" ht="15" customHeight="1">
      <c r="A42" s="291">
        <v>28</v>
      </c>
      <c r="B42" s="293" t="s">
        <v>20</v>
      </c>
      <c r="C42" s="699">
        <v>2.8535495172531872E-2</v>
      </c>
      <c r="D42" s="699">
        <v>2.7597252715332154E-2</v>
      </c>
      <c r="E42" s="699">
        <v>2.7336584727608033E-2</v>
      </c>
      <c r="F42" s="699">
        <v>2.6561991023921795E-2</v>
      </c>
      <c r="G42" s="700">
        <v>2.8886941628156096E-2</v>
      </c>
    </row>
    <row r="43" spans="1:7" ht="15" customHeight="1">
      <c r="A43" s="294"/>
      <c r="B43" s="288" t="s">
        <v>344</v>
      </c>
      <c r="C43" s="697"/>
      <c r="D43" s="697"/>
      <c r="E43" s="697"/>
      <c r="F43" s="697"/>
      <c r="G43" s="698"/>
    </row>
    <row r="44" spans="1:7" ht="15" customHeight="1">
      <c r="A44" s="291">
        <v>29</v>
      </c>
      <c r="B44" s="334" t="s">
        <v>328</v>
      </c>
      <c r="C44" s="689">
        <v>194481822.64520001</v>
      </c>
      <c r="D44" s="689">
        <v>186438338.52779999</v>
      </c>
      <c r="E44" s="689">
        <v>172669610.8348</v>
      </c>
      <c r="F44" s="689">
        <v>167752690.86499998</v>
      </c>
      <c r="G44" s="701">
        <v>164414703.24720001</v>
      </c>
    </row>
    <row r="45" spans="1:7" ht="15">
      <c r="A45" s="291">
        <v>30</v>
      </c>
      <c r="B45" s="292" t="s">
        <v>329</v>
      </c>
      <c r="C45" s="702">
        <v>23166469.256092764</v>
      </c>
      <c r="D45" s="702">
        <v>20685666.231299952</v>
      </c>
      <c r="E45" s="702">
        <v>23093719.351650029</v>
      </c>
      <c r="F45" s="702">
        <v>19768803.225148078</v>
      </c>
      <c r="G45" s="703">
        <v>24265320.006339312</v>
      </c>
    </row>
    <row r="46" spans="1:7" ht="15">
      <c r="A46" s="331">
        <v>31</v>
      </c>
      <c r="B46" s="332" t="s">
        <v>327</v>
      </c>
      <c r="C46" s="699">
        <v>8.3949703554438457</v>
      </c>
      <c r="D46" s="699">
        <v>9.0129240433018261</v>
      </c>
      <c r="E46" s="699">
        <v>7.4769078209336985</v>
      </c>
      <c r="F46" s="699">
        <v>8.4857281927719441</v>
      </c>
      <c r="G46" s="700">
        <v>6.77570719051909</v>
      </c>
    </row>
    <row r="47" spans="1:7" ht="15">
      <c r="A47" s="331"/>
      <c r="B47" s="288" t="s">
        <v>422</v>
      </c>
      <c r="C47" s="183"/>
      <c r="D47" s="183"/>
      <c r="E47" s="183"/>
      <c r="F47" s="183"/>
      <c r="G47" s="184"/>
    </row>
    <row r="48" spans="1:7" ht="15">
      <c r="A48" s="331">
        <v>32</v>
      </c>
      <c r="B48" s="332" t="s">
        <v>429</v>
      </c>
      <c r="C48" s="704">
        <v>405959156.17846334</v>
      </c>
      <c r="D48" s="704">
        <v>408975543.48831475</v>
      </c>
      <c r="E48" s="704">
        <v>410370679.37576294</v>
      </c>
      <c r="F48" s="704">
        <v>414911803.85435462</v>
      </c>
      <c r="G48" s="333">
        <v>420864835.86790001</v>
      </c>
    </row>
    <row r="49" spans="1:7" ht="15">
      <c r="A49" s="331">
        <v>33</v>
      </c>
      <c r="B49" s="332" t="s">
        <v>442</v>
      </c>
      <c r="C49" s="704">
        <v>225999443.12906942</v>
      </c>
      <c r="D49" s="704">
        <v>235310460.36967027</v>
      </c>
      <c r="E49" s="704">
        <v>250047401.04660749</v>
      </c>
      <c r="F49" s="704">
        <v>255703727.10201162</v>
      </c>
      <c r="G49" s="333">
        <v>265389534.78531218</v>
      </c>
    </row>
    <row r="50" spans="1:7" thickBot="1">
      <c r="A50" s="69">
        <v>34</v>
      </c>
      <c r="B50" s="148" t="s">
        <v>456</v>
      </c>
      <c r="C50" s="705">
        <v>1.7962838782156556</v>
      </c>
      <c r="D50" s="705">
        <v>1.738025342544562</v>
      </c>
      <c r="E50" s="705">
        <v>1.6411715445075634</v>
      </c>
      <c r="F50" s="705">
        <v>1.6226271261538077</v>
      </c>
      <c r="G50" s="706">
        <v>1.5858381009950531</v>
      </c>
    </row>
    <row r="51" spans="1:7">
      <c r="A51" s="20"/>
    </row>
    <row r="52" spans="1:7">
      <c r="B52" s="23"/>
    </row>
    <row r="53" spans="1:7" ht="65.25">
      <c r="B53" s="222" t="s">
        <v>343</v>
      </c>
      <c r="D53" s="204"/>
      <c r="E53" s="204"/>
      <c r="F53" s="204"/>
      <c r="G53" s="204"/>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39"/>
  <sheetViews>
    <sheetView zoomScale="80" zoomScaleNormal="80" workbookViewId="0">
      <selection activeCell="B1" sqref="B1"/>
    </sheetView>
  </sheetViews>
  <sheetFormatPr defaultRowHeight="15"/>
  <cols>
    <col min="1" max="1" width="11.42578125" customWidth="1"/>
    <col min="2" max="2" width="76.7109375" style="4" customWidth="1"/>
    <col min="3" max="3" width="22.7109375" customWidth="1"/>
  </cols>
  <sheetData>
    <row r="1" spans="1:4">
      <c r="A1" s="204" t="s">
        <v>97</v>
      </c>
      <c r="B1" t="str">
        <f>Info!C2</f>
        <v>სს "ვითიბი ბანკი ჯორჯია"</v>
      </c>
    </row>
    <row r="2" spans="1:4">
      <c r="A2" s="204" t="s">
        <v>98</v>
      </c>
      <c r="B2" s="295">
        <f>'1. key ratios'!B2</f>
        <v>45930</v>
      </c>
    </row>
    <row r="3" spans="1:4">
      <c r="A3" s="204"/>
      <c r="B3"/>
    </row>
    <row r="4" spans="1:4">
      <c r="A4" s="204" t="s">
        <v>406</v>
      </c>
      <c r="B4" t="s">
        <v>375</v>
      </c>
    </row>
    <row r="5" spans="1:4">
      <c r="A5" s="642"/>
      <c r="B5" s="642" t="s">
        <v>376</v>
      </c>
      <c r="C5" s="643"/>
    </row>
    <row r="6" spans="1:4">
      <c r="A6" s="644">
        <v>1</v>
      </c>
      <c r="B6" s="645" t="s">
        <v>376</v>
      </c>
      <c r="C6" s="646">
        <v>442693630.57665706</v>
      </c>
    </row>
    <row r="7" spans="1:4">
      <c r="A7" s="644">
        <v>2</v>
      </c>
      <c r="B7" s="645" t="s">
        <v>377</v>
      </c>
      <c r="C7" s="646">
        <v>-13249306.25</v>
      </c>
    </row>
    <row r="8" spans="1:4">
      <c r="A8" s="647">
        <v>3</v>
      </c>
      <c r="B8" s="648" t="s">
        <v>378</v>
      </c>
      <c r="C8" s="649">
        <f>C7+C6</f>
        <v>429444324.32665706</v>
      </c>
    </row>
    <row r="9" spans="1:4">
      <c r="A9" s="650"/>
      <c r="B9" s="650" t="s">
        <v>379</v>
      </c>
      <c r="C9" s="651"/>
    </row>
    <row r="10" spans="1:4">
      <c r="A10" s="652">
        <v>4</v>
      </c>
      <c r="B10" s="653" t="s">
        <v>380</v>
      </c>
      <c r="C10" s="646">
        <v>0</v>
      </c>
      <c r="D10" s="753" t="b">
        <f>'15. CCR'!F34</f>
        <v>0</v>
      </c>
    </row>
    <row r="11" spans="1:4">
      <c r="A11" s="652">
        <v>5</v>
      </c>
      <c r="B11" s="654" t="s">
        <v>381</v>
      </c>
      <c r="C11" s="646">
        <v>0</v>
      </c>
      <c r="D11" s="753" t="b">
        <f>'15. CCR'!G34</f>
        <v>0</v>
      </c>
    </row>
    <row r="12" spans="1:4">
      <c r="A12" s="652">
        <v>6</v>
      </c>
      <c r="B12" s="655" t="s">
        <v>979</v>
      </c>
      <c r="C12" s="649">
        <f>'15. CCR'!I34</f>
        <v>0</v>
      </c>
      <c r="D12" s="753"/>
    </row>
    <row r="13" spans="1:4">
      <c r="A13" s="656">
        <v>7</v>
      </c>
      <c r="B13" s="657" t="s">
        <v>382</v>
      </c>
      <c r="C13" s="646">
        <v>0</v>
      </c>
      <c r="D13" s="753" t="b">
        <f>'15. CCR'!E34</f>
        <v>0</v>
      </c>
    </row>
    <row r="14" spans="1:4">
      <c r="A14" s="658">
        <v>8</v>
      </c>
      <c r="B14" s="659" t="s">
        <v>383</v>
      </c>
      <c r="C14" s="649">
        <f>C12</f>
        <v>0</v>
      </c>
    </row>
    <row r="15" spans="1:4">
      <c r="A15" s="650"/>
      <c r="B15" s="650" t="s">
        <v>384</v>
      </c>
      <c r="C15" s="660"/>
    </row>
    <row r="16" spans="1:4">
      <c r="A16" s="656">
        <v>9</v>
      </c>
      <c r="B16" s="661" t="s">
        <v>385</v>
      </c>
      <c r="C16" s="646"/>
    </row>
    <row r="17" spans="1:3">
      <c r="A17" s="652">
        <v>10</v>
      </c>
      <c r="B17" s="645" t="s">
        <v>386</v>
      </c>
      <c r="C17" s="646"/>
    </row>
    <row r="18" spans="1:3">
      <c r="A18" s="652">
        <v>11</v>
      </c>
      <c r="B18" s="645" t="s">
        <v>387</v>
      </c>
      <c r="C18" s="646"/>
    </row>
    <row r="19" spans="1:3" ht="24">
      <c r="A19" s="656">
        <v>12</v>
      </c>
      <c r="B19" s="661" t="s">
        <v>388</v>
      </c>
      <c r="C19" s="646"/>
    </row>
    <row r="20" spans="1:3">
      <c r="A20" s="656">
        <v>13</v>
      </c>
      <c r="B20" s="661" t="s">
        <v>389</v>
      </c>
      <c r="C20" s="646"/>
    </row>
    <row r="21" spans="1:3">
      <c r="A21" s="656">
        <v>14</v>
      </c>
      <c r="B21" s="645" t="s">
        <v>390</v>
      </c>
      <c r="C21" s="646"/>
    </row>
    <row r="22" spans="1:3">
      <c r="A22" s="658">
        <v>15</v>
      </c>
      <c r="B22" s="659" t="s">
        <v>391</v>
      </c>
      <c r="C22" s="649">
        <f>SUM(C16:C21)</f>
        <v>0</v>
      </c>
    </row>
    <row r="23" spans="1:3">
      <c r="A23" s="650"/>
      <c r="B23" s="650" t="s">
        <v>392</v>
      </c>
      <c r="C23" s="651"/>
    </row>
    <row r="24" spans="1:3">
      <c r="A24" s="652">
        <v>16</v>
      </c>
      <c r="B24" s="645" t="s">
        <v>393</v>
      </c>
      <c r="C24" s="646"/>
    </row>
    <row r="25" spans="1:3">
      <c r="A25" s="652">
        <v>17</v>
      </c>
      <c r="B25" s="645" t="s">
        <v>394</v>
      </c>
      <c r="C25" s="646"/>
    </row>
    <row r="26" spans="1:3">
      <c r="A26" s="658">
        <v>18</v>
      </c>
      <c r="B26" s="659" t="s">
        <v>395</v>
      </c>
      <c r="C26" s="649">
        <f>C24+C25</f>
        <v>0</v>
      </c>
    </row>
    <row r="27" spans="1:3">
      <c r="A27" s="650"/>
      <c r="B27" s="650" t="s">
        <v>396</v>
      </c>
      <c r="C27" s="660"/>
    </row>
    <row r="28" spans="1:3">
      <c r="A28" s="652">
        <v>19</v>
      </c>
      <c r="B28" s="645" t="s">
        <v>397</v>
      </c>
      <c r="C28" s="646"/>
    </row>
    <row r="29" spans="1:3">
      <c r="A29" s="652">
        <v>20</v>
      </c>
      <c r="B29" s="645" t="s">
        <v>398</v>
      </c>
      <c r="C29" s="646"/>
    </row>
    <row r="30" spans="1:3">
      <c r="A30" s="650"/>
      <c r="B30" s="650" t="s">
        <v>399</v>
      </c>
      <c r="C30" s="651"/>
    </row>
    <row r="31" spans="1:3">
      <c r="A31" s="658">
        <v>21</v>
      </c>
      <c r="B31" s="659" t="s">
        <v>75</v>
      </c>
      <c r="C31" s="649">
        <f>'1. key ratios'!C9</f>
        <v>276171189.54756331</v>
      </c>
    </row>
    <row r="32" spans="1:3">
      <c r="A32" s="658">
        <v>22</v>
      </c>
      <c r="B32" s="659" t="s">
        <v>400</v>
      </c>
      <c r="C32" s="649">
        <f>C8+C14+C22+C26</f>
        <v>429444324.32665706</v>
      </c>
    </row>
    <row r="33" spans="1:3">
      <c r="A33" s="662"/>
      <c r="B33" s="662" t="s">
        <v>375</v>
      </c>
      <c r="C33" s="651"/>
    </row>
    <row r="34" spans="1:3">
      <c r="A34" s="658">
        <v>23</v>
      </c>
      <c r="B34" s="659" t="s">
        <v>375</v>
      </c>
      <c r="C34" s="754">
        <f>IFERROR(C31/C32,0)</f>
        <v>0.6430896251349536</v>
      </c>
    </row>
    <row r="35" spans="1:3">
      <c r="A35" s="662"/>
      <c r="B35" s="662" t="s">
        <v>401</v>
      </c>
      <c r="C35" s="651"/>
    </row>
    <row r="36" spans="1:3">
      <c r="A36" s="656" t="s">
        <v>402</v>
      </c>
      <c r="B36" s="661" t="s">
        <v>403</v>
      </c>
      <c r="C36" s="663"/>
    </row>
    <row r="37" spans="1:3">
      <c r="A37" s="664" t="s">
        <v>404</v>
      </c>
      <c r="B37" s="665" t="s">
        <v>405</v>
      </c>
      <c r="C37" s="663"/>
    </row>
    <row r="39" spans="1:3">
      <c r="B39" s="268"/>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
  <sheetViews>
    <sheetView zoomScale="80" zoomScaleNormal="80" workbookViewId="0">
      <selection activeCell="B1" sqref="B1"/>
    </sheetView>
  </sheetViews>
  <sheetFormatPr defaultRowHeight="15"/>
  <cols>
    <col min="1" max="1" width="11.42578125" customWidth="1"/>
    <col min="2" max="2" width="76.7109375" style="4" customWidth="1"/>
    <col min="3" max="6" width="24.42578125" customWidth="1"/>
  </cols>
  <sheetData>
    <row r="1" spans="1:6">
      <c r="A1" s="16" t="s">
        <v>97</v>
      </c>
      <c r="B1" t="str">
        <f>Info!C2</f>
        <v>სს "ვითიბი ბანკი ჯორჯია"</v>
      </c>
    </row>
    <row r="2" spans="1:6">
      <c r="A2" s="204" t="s">
        <v>98</v>
      </c>
      <c r="B2" s="295">
        <f>'[5]1. key ratios'!B2</f>
        <v>45747</v>
      </c>
    </row>
    <row r="3" spans="1:6">
      <c r="A3" s="204"/>
      <c r="B3"/>
    </row>
    <row r="4" spans="1:6">
      <c r="A4" s="641" t="s">
        <v>971</v>
      </c>
    </row>
    <row r="5" spans="1:6" ht="105">
      <c r="B5" s="635"/>
      <c r="C5" s="636" t="s">
        <v>972</v>
      </c>
      <c r="D5" s="636" t="s">
        <v>973</v>
      </c>
      <c r="E5" s="636" t="s">
        <v>974</v>
      </c>
      <c r="F5" s="636" t="s">
        <v>975</v>
      </c>
    </row>
    <row r="6" spans="1:6">
      <c r="B6" s="637" t="s">
        <v>970</v>
      </c>
      <c r="C6" s="638" t="b">
        <f>IF(C7&gt;0,C7,IF(C8&gt;0,C8,IF(C9&gt;0,C9)))</f>
        <v>0</v>
      </c>
      <c r="D6" s="638" t="b">
        <f>IF(D7&gt;0,D7,IF(D8&gt;0,D8,IF(D9&gt;0,D9)))</f>
        <v>0</v>
      </c>
      <c r="E6" s="638" t="b">
        <f>IF(E7&gt;0,E7,IF(E8&gt;0,E8,IF(E9&gt;0,E9)))</f>
        <v>0</v>
      </c>
      <c r="F6" s="638" t="b">
        <f>IF(F7&gt;0,F7,IF(F8&gt;0,F8,IF(F9&gt;0,F9)))</f>
        <v>0</v>
      </c>
    </row>
    <row r="7" spans="1:6">
      <c r="B7" s="639" t="s">
        <v>976</v>
      </c>
      <c r="C7" s="640"/>
      <c r="D7" s="640"/>
      <c r="E7" s="640"/>
      <c r="F7" s="640"/>
    </row>
    <row r="8" spans="1:6">
      <c r="B8" s="639" t="s">
        <v>977</v>
      </c>
      <c r="C8" s="640"/>
      <c r="D8" s="640"/>
      <c r="E8" s="640"/>
      <c r="F8" s="640"/>
    </row>
    <row r="9" spans="1:6">
      <c r="B9" s="639" t="s">
        <v>978</v>
      </c>
      <c r="C9" s="640"/>
      <c r="D9" s="640"/>
      <c r="E9" s="640"/>
      <c r="F9" s="640"/>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60" zoomScaleNormal="60" workbookViewId="0">
      <pane xSplit="2" ySplit="6" topLeftCell="C7" activePane="bottomRight" state="frozen"/>
      <selection pane="topRight" activeCell="C1" sqref="C1"/>
      <selection pane="bottomLeft" activeCell="A7" sqref="A7"/>
      <selection pane="bottomRight" activeCell="G39" sqref="C8:G39"/>
    </sheetView>
  </sheetViews>
  <sheetFormatPr defaultRowHeight="15"/>
  <cols>
    <col min="1" max="1" width="9.85546875" style="204" bestFit="1" customWidth="1"/>
    <col min="2" max="2" width="82.7109375" style="23" customWidth="1"/>
    <col min="3" max="7" width="17.5703125" style="204" customWidth="1"/>
  </cols>
  <sheetData>
    <row r="1" spans="1:7">
      <c r="A1" s="204" t="s">
        <v>97</v>
      </c>
      <c r="B1" s="204" t="str">
        <f>Info!C2</f>
        <v>სს "ვითიბი ბანკი ჯორჯია"</v>
      </c>
    </row>
    <row r="2" spans="1:7">
      <c r="A2" s="204" t="s">
        <v>98</v>
      </c>
      <c r="B2" s="295">
        <f>'1. key ratios'!B2</f>
        <v>45930</v>
      </c>
    </row>
    <row r="3" spans="1:7">
      <c r="B3" s="295"/>
    </row>
    <row r="4" spans="1:7" ht="15.75" thickBot="1">
      <c r="A4" s="204" t="s">
        <v>457</v>
      </c>
      <c r="B4" s="296" t="s">
        <v>422</v>
      </c>
    </row>
    <row r="5" spans="1:7">
      <c r="A5" s="297"/>
      <c r="B5" s="298"/>
      <c r="C5" s="878" t="s">
        <v>423</v>
      </c>
      <c r="D5" s="878"/>
      <c r="E5" s="878"/>
      <c r="F5" s="878"/>
      <c r="G5" s="879" t="s">
        <v>424</v>
      </c>
    </row>
    <row r="6" spans="1:7">
      <c r="A6" s="299"/>
      <c r="B6" s="300"/>
      <c r="C6" s="301" t="s">
        <v>425</v>
      </c>
      <c r="D6" s="302" t="s">
        <v>426</v>
      </c>
      <c r="E6" s="302" t="s">
        <v>427</v>
      </c>
      <c r="F6" s="302" t="s">
        <v>428</v>
      </c>
      <c r="G6" s="880"/>
    </row>
    <row r="7" spans="1:7">
      <c r="A7" s="303"/>
      <c r="B7" s="304" t="s">
        <v>429</v>
      </c>
      <c r="C7" s="305"/>
      <c r="D7" s="305"/>
      <c r="E7" s="305"/>
      <c r="F7" s="305"/>
      <c r="G7" s="306"/>
    </row>
    <row r="8" spans="1:7">
      <c r="A8" s="307">
        <v>1</v>
      </c>
      <c r="B8" s="308" t="s">
        <v>430</v>
      </c>
      <c r="C8" s="309">
        <v>276171189.54756331</v>
      </c>
      <c r="D8" s="309">
        <v>0</v>
      </c>
      <c r="E8" s="309">
        <v>0</v>
      </c>
      <c r="F8" s="309">
        <v>121963695.57440001</v>
      </c>
      <c r="G8" s="310">
        <v>398134885.12196332</v>
      </c>
    </row>
    <row r="9" spans="1:7">
      <c r="A9" s="307">
        <v>2</v>
      </c>
      <c r="B9" s="311" t="s">
        <v>74</v>
      </c>
      <c r="C9" s="309">
        <v>276171189.54756331</v>
      </c>
      <c r="D9" s="309"/>
      <c r="E9" s="309"/>
      <c r="F9" s="309">
        <v>49855319.225759998</v>
      </c>
      <c r="G9" s="310">
        <v>326026508.7733233</v>
      </c>
    </row>
    <row r="10" spans="1:7">
      <c r="A10" s="307">
        <v>3</v>
      </c>
      <c r="B10" s="311" t="s">
        <v>431</v>
      </c>
      <c r="C10" s="312"/>
      <c r="D10" s="312"/>
      <c r="E10" s="312"/>
      <c r="F10" s="309">
        <v>72108376.34864001</v>
      </c>
      <c r="G10" s="310">
        <v>72108376.34864001</v>
      </c>
    </row>
    <row r="11" spans="1:7" ht="26.25">
      <c r="A11" s="307">
        <v>4</v>
      </c>
      <c r="B11" s="308" t="s">
        <v>432</v>
      </c>
      <c r="C11" s="309">
        <v>3371579.25</v>
      </c>
      <c r="D11" s="309">
        <v>0</v>
      </c>
      <c r="E11" s="309">
        <v>0</v>
      </c>
      <c r="F11" s="309">
        <v>0</v>
      </c>
      <c r="G11" s="310">
        <v>3202946.2514999998</v>
      </c>
    </row>
    <row r="12" spans="1:7">
      <c r="A12" s="307">
        <v>5</v>
      </c>
      <c r="B12" s="311" t="s">
        <v>433</v>
      </c>
      <c r="C12" s="309">
        <v>3371459.17</v>
      </c>
      <c r="D12" s="313">
        <v>0</v>
      </c>
      <c r="E12" s="309">
        <v>0</v>
      </c>
      <c r="F12" s="309">
        <v>0</v>
      </c>
      <c r="G12" s="310">
        <v>3202886.2114999997</v>
      </c>
    </row>
    <row r="13" spans="1:7">
      <c r="A13" s="307">
        <v>6</v>
      </c>
      <c r="B13" s="311" t="s">
        <v>434</v>
      </c>
      <c r="C13" s="309">
        <v>120.08</v>
      </c>
      <c r="D13" s="313">
        <v>0</v>
      </c>
      <c r="E13" s="309">
        <v>0</v>
      </c>
      <c r="F13" s="309">
        <v>0</v>
      </c>
      <c r="G13" s="310">
        <v>60.04</v>
      </c>
    </row>
    <row r="14" spans="1:7">
      <c r="A14" s="307">
        <v>7</v>
      </c>
      <c r="B14" s="308" t="s">
        <v>435</v>
      </c>
      <c r="C14" s="309">
        <v>9551580.2180000022</v>
      </c>
      <c r="D14" s="309">
        <v>57602.692500000005</v>
      </c>
      <c r="E14" s="309">
        <v>20000</v>
      </c>
      <c r="F14" s="309">
        <v>0</v>
      </c>
      <c r="G14" s="310">
        <v>4621324.8050000006</v>
      </c>
    </row>
    <row r="15" spans="1:7" ht="51.75">
      <c r="A15" s="307">
        <v>8</v>
      </c>
      <c r="B15" s="311" t="s">
        <v>436</v>
      </c>
      <c r="C15" s="309">
        <v>9209043.7500000019</v>
      </c>
      <c r="D15" s="313">
        <v>13605.86</v>
      </c>
      <c r="E15" s="309">
        <v>20000</v>
      </c>
      <c r="F15" s="309">
        <v>0</v>
      </c>
      <c r="G15" s="310">
        <v>4621324.8050000006</v>
      </c>
    </row>
    <row r="16" spans="1:7" ht="26.25">
      <c r="A16" s="307">
        <v>9</v>
      </c>
      <c r="B16" s="311" t="s">
        <v>437</v>
      </c>
      <c r="C16" s="309">
        <v>342536.46799999999</v>
      </c>
      <c r="D16" s="313">
        <v>43996.832500000004</v>
      </c>
      <c r="E16" s="309">
        <v>0</v>
      </c>
      <c r="F16" s="309">
        <v>0</v>
      </c>
      <c r="G16" s="310">
        <v>0</v>
      </c>
    </row>
    <row r="17" spans="1:7">
      <c r="A17" s="307">
        <v>10</v>
      </c>
      <c r="B17" s="308" t="s">
        <v>438</v>
      </c>
      <c r="C17" s="309"/>
      <c r="D17" s="313"/>
      <c r="E17" s="309"/>
      <c r="F17" s="309"/>
      <c r="G17" s="310">
        <v>0</v>
      </c>
    </row>
    <row r="18" spans="1:7">
      <c r="A18" s="307">
        <v>11</v>
      </c>
      <c r="B18" s="308" t="s">
        <v>78</v>
      </c>
      <c r="C18" s="309">
        <v>17008920.533799998</v>
      </c>
      <c r="D18" s="313">
        <v>1299282.3229000003</v>
      </c>
      <c r="E18" s="309">
        <v>68.099999999999994</v>
      </c>
      <c r="F18" s="309">
        <v>405.78750000000002</v>
      </c>
      <c r="G18" s="310">
        <v>0</v>
      </c>
    </row>
    <row r="19" spans="1:7">
      <c r="A19" s="307">
        <v>12</v>
      </c>
      <c r="B19" s="311" t="s">
        <v>439</v>
      </c>
      <c r="C19" s="312"/>
      <c r="D19" s="313">
        <v>0</v>
      </c>
      <c r="E19" s="309">
        <v>0</v>
      </c>
      <c r="F19" s="309">
        <v>0</v>
      </c>
      <c r="G19" s="310">
        <v>0</v>
      </c>
    </row>
    <row r="20" spans="1:7" ht="26.25">
      <c r="A20" s="307">
        <v>13</v>
      </c>
      <c r="B20" s="311" t="s">
        <v>440</v>
      </c>
      <c r="C20" s="309">
        <v>17008920.533799998</v>
      </c>
      <c r="D20" s="309">
        <v>1299282.3229000003</v>
      </c>
      <c r="E20" s="309">
        <v>68.099999999999994</v>
      </c>
      <c r="F20" s="309">
        <v>405.78750000000002</v>
      </c>
      <c r="G20" s="310">
        <v>0</v>
      </c>
    </row>
    <row r="21" spans="1:7">
      <c r="A21" s="314">
        <v>14</v>
      </c>
      <c r="B21" s="315" t="s">
        <v>441</v>
      </c>
      <c r="C21" s="312"/>
      <c r="D21" s="312"/>
      <c r="E21" s="312"/>
      <c r="F21" s="312"/>
      <c r="G21" s="316">
        <v>405959156.17846334</v>
      </c>
    </row>
    <row r="22" spans="1:7">
      <c r="A22" s="317"/>
      <c r="B22" s="335" t="s">
        <v>442</v>
      </c>
      <c r="C22" s="318"/>
      <c r="D22" s="319"/>
      <c r="E22" s="318"/>
      <c r="F22" s="318"/>
      <c r="G22" s="320"/>
    </row>
    <row r="23" spans="1:7">
      <c r="A23" s="307">
        <v>15</v>
      </c>
      <c r="B23" s="308" t="s">
        <v>310</v>
      </c>
      <c r="C23" s="321">
        <v>197510576.24430001</v>
      </c>
      <c r="D23" s="322">
        <v>0</v>
      </c>
      <c r="E23" s="321">
        <v>0</v>
      </c>
      <c r="F23" s="321">
        <v>0</v>
      </c>
      <c r="G23" s="310">
        <v>0</v>
      </c>
    </row>
    <row r="24" spans="1:7">
      <c r="A24" s="307">
        <v>16</v>
      </c>
      <c r="B24" s="308" t="s">
        <v>443</v>
      </c>
      <c r="C24" s="309">
        <v>0</v>
      </c>
      <c r="D24" s="313">
        <v>11598525.599383</v>
      </c>
      <c r="E24" s="309">
        <v>6148774.741326998</v>
      </c>
      <c r="F24" s="309">
        <v>38839438.63014701</v>
      </c>
      <c r="G24" s="310">
        <v>41171914.372351989</v>
      </c>
    </row>
    <row r="25" spans="1:7" ht="26.25">
      <c r="A25" s="307">
        <v>17</v>
      </c>
      <c r="B25" s="311" t="s">
        <v>444</v>
      </c>
      <c r="C25" s="309">
        <v>0</v>
      </c>
      <c r="D25" s="313">
        <v>0</v>
      </c>
      <c r="E25" s="309">
        <v>0</v>
      </c>
      <c r="F25" s="309">
        <v>0</v>
      </c>
      <c r="G25" s="310">
        <v>0</v>
      </c>
    </row>
    <row r="26" spans="1:7" ht="39">
      <c r="A26" s="307">
        <v>18</v>
      </c>
      <c r="B26" s="311" t="s">
        <v>445</v>
      </c>
      <c r="C26" s="309">
        <v>0</v>
      </c>
      <c r="D26" s="313">
        <v>115260.5235</v>
      </c>
      <c r="E26" s="309">
        <v>0</v>
      </c>
      <c r="F26" s="309">
        <v>353225.39077100001</v>
      </c>
      <c r="G26" s="310">
        <v>370514.46929600002</v>
      </c>
    </row>
    <row r="27" spans="1:7">
      <c r="A27" s="307">
        <v>19</v>
      </c>
      <c r="B27" s="311" t="s">
        <v>446</v>
      </c>
      <c r="C27" s="309">
        <v>0</v>
      </c>
      <c r="D27" s="313">
        <v>11308086.134191001</v>
      </c>
      <c r="E27" s="309">
        <v>5968740.6546219978</v>
      </c>
      <c r="F27" s="309">
        <v>34846706.944283009</v>
      </c>
      <c r="G27" s="310">
        <v>38258114.297047034</v>
      </c>
    </row>
    <row r="28" spans="1:7">
      <c r="A28" s="307">
        <v>20</v>
      </c>
      <c r="B28" s="323" t="s">
        <v>447</v>
      </c>
      <c r="C28" s="309">
        <v>0</v>
      </c>
      <c r="D28" s="313">
        <v>0</v>
      </c>
      <c r="E28" s="309">
        <v>0</v>
      </c>
      <c r="F28" s="309">
        <v>0</v>
      </c>
      <c r="G28" s="310">
        <v>0</v>
      </c>
    </row>
    <row r="29" spans="1:7">
      <c r="A29" s="307">
        <v>21</v>
      </c>
      <c r="B29" s="311" t="s">
        <v>448</v>
      </c>
      <c r="C29" s="309">
        <v>0</v>
      </c>
      <c r="D29" s="313">
        <v>175178.94169200017</v>
      </c>
      <c r="E29" s="309">
        <v>180034.08670500002</v>
      </c>
      <c r="F29" s="309">
        <v>3639506.2950929985</v>
      </c>
      <c r="G29" s="310">
        <v>2543285.6060089516</v>
      </c>
    </row>
    <row r="30" spans="1:7">
      <c r="A30" s="307">
        <v>22</v>
      </c>
      <c r="B30" s="323" t="s">
        <v>447</v>
      </c>
      <c r="C30" s="309">
        <v>0</v>
      </c>
      <c r="D30" s="313">
        <v>175178.94169200017</v>
      </c>
      <c r="E30" s="309">
        <v>180034.08670500002</v>
      </c>
      <c r="F30" s="309">
        <v>3639506.2950929985</v>
      </c>
      <c r="G30" s="310">
        <v>2543285.6060089516</v>
      </c>
    </row>
    <row r="31" spans="1:7" ht="26.25">
      <c r="A31" s="307">
        <v>23</v>
      </c>
      <c r="B31" s="311" t="s">
        <v>449</v>
      </c>
      <c r="C31" s="309">
        <v>0</v>
      </c>
      <c r="D31" s="313">
        <v>0</v>
      </c>
      <c r="E31" s="309">
        <v>0</v>
      </c>
      <c r="F31" s="309">
        <v>0</v>
      </c>
      <c r="G31" s="310">
        <v>0</v>
      </c>
    </row>
    <row r="32" spans="1:7">
      <c r="A32" s="307">
        <v>24</v>
      </c>
      <c r="B32" s="308" t="s">
        <v>450</v>
      </c>
      <c r="C32" s="309">
        <v>0</v>
      </c>
      <c r="D32" s="313">
        <v>0</v>
      </c>
      <c r="E32" s="309">
        <v>0</v>
      </c>
      <c r="F32" s="309">
        <v>0</v>
      </c>
      <c r="G32" s="310">
        <v>0</v>
      </c>
    </row>
    <row r="33" spans="1:7">
      <c r="A33" s="307">
        <v>25</v>
      </c>
      <c r="B33" s="308" t="s">
        <v>88</v>
      </c>
      <c r="C33" s="309">
        <v>181857053.40350002</v>
      </c>
      <c r="D33" s="309">
        <v>5882514.8499999996</v>
      </c>
      <c r="E33" s="309">
        <v>0</v>
      </c>
      <c r="F33" s="309">
        <v>217.96</v>
      </c>
      <c r="G33" s="310">
        <v>184798528.78850001</v>
      </c>
    </row>
    <row r="34" spans="1:7">
      <c r="A34" s="307">
        <v>26</v>
      </c>
      <c r="B34" s="311" t="s">
        <v>451</v>
      </c>
      <c r="C34" s="312"/>
      <c r="D34" s="313">
        <v>0</v>
      </c>
      <c r="E34" s="309">
        <v>0</v>
      </c>
      <c r="F34" s="309">
        <v>0</v>
      </c>
      <c r="G34" s="310">
        <v>0</v>
      </c>
    </row>
    <row r="35" spans="1:7">
      <c r="A35" s="307">
        <v>27</v>
      </c>
      <c r="B35" s="311" t="s">
        <v>452</v>
      </c>
      <c r="C35" s="309">
        <v>181857053.40350002</v>
      </c>
      <c r="D35" s="313">
        <v>5882514.8499999996</v>
      </c>
      <c r="E35" s="309">
        <v>0</v>
      </c>
      <c r="F35" s="309">
        <v>217.96</v>
      </c>
      <c r="G35" s="310">
        <v>184798528.78850001</v>
      </c>
    </row>
    <row r="36" spans="1:7">
      <c r="A36" s="307">
        <v>28</v>
      </c>
      <c r="B36" s="308" t="s">
        <v>453</v>
      </c>
      <c r="C36" s="309">
        <v>0</v>
      </c>
      <c r="D36" s="313">
        <v>0</v>
      </c>
      <c r="E36" s="309">
        <v>20000</v>
      </c>
      <c r="F36" s="309">
        <v>180000</v>
      </c>
      <c r="G36" s="310">
        <v>29000</v>
      </c>
    </row>
    <row r="37" spans="1:7">
      <c r="A37" s="314">
        <v>29</v>
      </c>
      <c r="B37" s="315" t="s">
        <v>454</v>
      </c>
      <c r="C37" s="312"/>
      <c r="D37" s="312"/>
      <c r="E37" s="312"/>
      <c r="F37" s="312"/>
      <c r="G37" s="316">
        <v>225999443.16085202</v>
      </c>
    </row>
    <row r="38" spans="1:7">
      <c r="A38" s="303"/>
      <c r="B38" s="324"/>
      <c r="C38" s="325"/>
      <c r="D38" s="325"/>
      <c r="E38" s="325"/>
      <c r="F38" s="325"/>
      <c r="G38" s="326"/>
    </row>
    <row r="39" spans="1:7" ht="15.75" thickBot="1">
      <c r="A39" s="327">
        <v>30</v>
      </c>
      <c r="B39" s="328" t="s">
        <v>422</v>
      </c>
      <c r="C39" s="212"/>
      <c r="D39" s="195"/>
      <c r="E39" s="195"/>
      <c r="F39" s="329"/>
      <c r="G39" s="330">
        <f>IFERROR(G21/G37,0)</f>
        <v>1.7962838779630419</v>
      </c>
    </row>
    <row r="42" spans="1:7" ht="39">
      <c r="B42" s="23"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70" zoomScaleNormal="70" workbookViewId="0">
      <selection activeCell="C8" sqref="C8:H22"/>
    </sheetView>
  </sheetViews>
  <sheetFormatPr defaultColWidth="9.28515625" defaultRowHeight="12.75"/>
  <cols>
    <col min="1" max="1" width="11.7109375" style="340" bestFit="1" customWidth="1"/>
    <col min="2" max="2" width="105.28515625" style="340" bestFit="1" customWidth="1"/>
    <col min="3" max="3" width="16.7109375" style="757" bestFit="1" customWidth="1"/>
    <col min="4" max="4" width="16.140625" style="757" bestFit="1" customWidth="1"/>
    <col min="5" max="5" width="17" style="757" bestFit="1" customWidth="1"/>
    <col min="6" max="6" width="15.140625" style="757" bestFit="1" customWidth="1"/>
    <col min="7" max="7" width="28.28515625" style="757" bestFit="1" customWidth="1"/>
    <col min="8" max="8" width="15.140625" style="757" bestFit="1" customWidth="1"/>
    <col min="9" max="16384" width="9.28515625" style="340"/>
  </cols>
  <sheetData>
    <row r="1" spans="1:8" ht="13.5">
      <c r="A1" s="339" t="s">
        <v>97</v>
      </c>
      <c r="B1" s="267" t="str">
        <f>Info!C2</f>
        <v>სს "ვითიბი ბანკი ჯორჯია"</v>
      </c>
    </row>
    <row r="2" spans="1:8">
      <c r="A2" s="341" t="s">
        <v>98</v>
      </c>
      <c r="B2" s="343">
        <f>'1. key ratios'!B2</f>
        <v>45930</v>
      </c>
    </row>
    <row r="3" spans="1:8">
      <c r="A3" s="342" t="s">
        <v>462</v>
      </c>
    </row>
    <row r="5" spans="1:8">
      <c r="A5" s="881" t="s">
        <v>463</v>
      </c>
      <c r="B5" s="882"/>
      <c r="C5" s="887" t="s">
        <v>464</v>
      </c>
      <c r="D5" s="888"/>
      <c r="E5" s="888"/>
      <c r="F5" s="888"/>
      <c r="G5" s="888"/>
      <c r="H5" s="889"/>
    </row>
    <row r="6" spans="1:8">
      <c r="A6" s="883"/>
      <c r="B6" s="884"/>
      <c r="C6" s="890"/>
      <c r="D6" s="891"/>
      <c r="E6" s="891"/>
      <c r="F6" s="891"/>
      <c r="G6" s="891"/>
      <c r="H6" s="892"/>
    </row>
    <row r="7" spans="1:8" ht="25.5">
      <c r="A7" s="885"/>
      <c r="B7" s="886"/>
      <c r="C7" s="758" t="s">
        <v>465</v>
      </c>
      <c r="D7" s="758" t="s">
        <v>466</v>
      </c>
      <c r="E7" s="758" t="s">
        <v>467</v>
      </c>
      <c r="F7" s="758" t="s">
        <v>468</v>
      </c>
      <c r="G7" s="759" t="s">
        <v>648</v>
      </c>
      <c r="H7" s="758" t="s">
        <v>66</v>
      </c>
    </row>
    <row r="8" spans="1:8">
      <c r="A8" s="443">
        <v>1</v>
      </c>
      <c r="B8" s="442" t="s">
        <v>123</v>
      </c>
      <c r="C8" s="760">
        <v>351</v>
      </c>
      <c r="D8" s="760">
        <v>0.36000000000001364</v>
      </c>
      <c r="E8" s="760">
        <v>0</v>
      </c>
      <c r="F8" s="760">
        <v>0</v>
      </c>
      <c r="G8" s="760"/>
      <c r="H8" s="761">
        <f t="shared" ref="H8:H20" si="0">SUM(C8:G8)</f>
        <v>351.36</v>
      </c>
    </row>
    <row r="9" spans="1:8">
      <c r="A9" s="443">
        <v>2</v>
      </c>
      <c r="B9" s="442" t="s">
        <v>124</v>
      </c>
      <c r="C9" s="760"/>
      <c r="D9" s="760"/>
      <c r="E9" s="760"/>
      <c r="F9" s="760"/>
      <c r="G9" s="760"/>
      <c r="H9" s="761">
        <f t="shared" si="0"/>
        <v>0</v>
      </c>
    </row>
    <row r="10" spans="1:8">
      <c r="A10" s="443">
        <v>3</v>
      </c>
      <c r="B10" s="442" t="s">
        <v>125</v>
      </c>
      <c r="C10" s="760"/>
      <c r="D10" s="760"/>
      <c r="E10" s="760"/>
      <c r="F10" s="760"/>
      <c r="G10" s="760"/>
      <c r="H10" s="761">
        <f t="shared" si="0"/>
        <v>0</v>
      </c>
    </row>
    <row r="11" spans="1:8">
      <c r="A11" s="443">
        <v>4</v>
      </c>
      <c r="B11" s="442" t="s">
        <v>126</v>
      </c>
      <c r="C11" s="760"/>
      <c r="D11" s="760"/>
      <c r="E11" s="760"/>
      <c r="F11" s="760"/>
      <c r="G11" s="760"/>
      <c r="H11" s="761">
        <f t="shared" si="0"/>
        <v>0</v>
      </c>
    </row>
    <row r="12" spans="1:8">
      <c r="A12" s="443">
        <v>5</v>
      </c>
      <c r="B12" s="442" t="s">
        <v>912</v>
      </c>
      <c r="C12" s="760"/>
      <c r="D12" s="760"/>
      <c r="E12" s="760"/>
      <c r="F12" s="760"/>
      <c r="G12" s="760"/>
      <c r="H12" s="761">
        <f t="shared" si="0"/>
        <v>0</v>
      </c>
    </row>
    <row r="13" spans="1:8">
      <c r="A13" s="443">
        <v>6</v>
      </c>
      <c r="B13" s="442" t="s">
        <v>127</v>
      </c>
      <c r="C13" s="760">
        <v>6966957.5671999995</v>
      </c>
      <c r="D13" s="760">
        <v>115260.5235</v>
      </c>
      <c r="E13" s="760">
        <v>0</v>
      </c>
      <c r="F13" s="760">
        <v>0</v>
      </c>
      <c r="G13" s="760"/>
      <c r="H13" s="761">
        <f t="shared" si="0"/>
        <v>7082218.0906999996</v>
      </c>
    </row>
    <row r="14" spans="1:8">
      <c r="A14" s="443">
        <v>7</v>
      </c>
      <c r="B14" s="442" t="s">
        <v>71</v>
      </c>
      <c r="C14" s="760">
        <v>0</v>
      </c>
      <c r="D14" s="760">
        <v>57119524.873899996</v>
      </c>
      <c r="E14" s="760">
        <v>65619348.46899993</v>
      </c>
      <c r="F14" s="760">
        <v>6610653.0837000012</v>
      </c>
      <c r="G14" s="760">
        <v>0</v>
      </c>
      <c r="H14" s="761">
        <f t="shared" si="0"/>
        <v>129349526.42659992</v>
      </c>
    </row>
    <row r="15" spans="1:8">
      <c r="A15" s="443">
        <v>8</v>
      </c>
      <c r="B15" s="444" t="s">
        <v>72</v>
      </c>
      <c r="C15" s="760">
        <v>0</v>
      </c>
      <c r="D15" s="760">
        <v>0</v>
      </c>
      <c r="E15" s="760">
        <v>0</v>
      </c>
      <c r="F15" s="760">
        <v>0</v>
      </c>
      <c r="G15" s="760">
        <v>0</v>
      </c>
      <c r="H15" s="761">
        <f t="shared" si="0"/>
        <v>0</v>
      </c>
    </row>
    <row r="16" spans="1:8">
      <c r="A16" s="443">
        <v>9</v>
      </c>
      <c r="B16" s="442" t="s">
        <v>913</v>
      </c>
      <c r="C16" s="760">
        <v>0</v>
      </c>
      <c r="D16" s="760">
        <v>21328.86</v>
      </c>
      <c r="E16" s="760">
        <v>422116.39500000002</v>
      </c>
      <c r="F16" s="760">
        <v>4167313.9994000001</v>
      </c>
      <c r="G16" s="760">
        <v>0</v>
      </c>
      <c r="H16" s="761">
        <f t="shared" si="0"/>
        <v>4610759.2544</v>
      </c>
    </row>
    <row r="17" spans="1:8">
      <c r="A17" s="443">
        <v>10</v>
      </c>
      <c r="B17" s="446" t="s">
        <v>483</v>
      </c>
      <c r="C17" s="760">
        <v>0</v>
      </c>
      <c r="D17" s="760">
        <v>28247284.27</v>
      </c>
      <c r="E17" s="760">
        <v>9295796.2070000004</v>
      </c>
      <c r="F17" s="760">
        <v>0</v>
      </c>
      <c r="G17" s="760">
        <v>0</v>
      </c>
      <c r="H17" s="761">
        <f t="shared" si="0"/>
        <v>37543080.476999998</v>
      </c>
    </row>
    <row r="18" spans="1:8">
      <c r="A18" s="443">
        <v>11</v>
      </c>
      <c r="B18" s="442" t="s">
        <v>68</v>
      </c>
      <c r="C18" s="760">
        <v>0</v>
      </c>
      <c r="D18" s="760">
        <v>0</v>
      </c>
      <c r="E18" s="760">
        <v>0</v>
      </c>
      <c r="F18" s="760">
        <v>0</v>
      </c>
      <c r="G18" s="760">
        <v>0</v>
      </c>
      <c r="H18" s="761">
        <f t="shared" si="0"/>
        <v>0</v>
      </c>
    </row>
    <row r="19" spans="1:8">
      <c r="A19" s="443">
        <v>12</v>
      </c>
      <c r="B19" s="442" t="s">
        <v>69</v>
      </c>
      <c r="C19" s="760"/>
      <c r="D19" s="760"/>
      <c r="E19" s="760"/>
      <c r="F19" s="760"/>
      <c r="G19" s="760"/>
      <c r="H19" s="761">
        <f t="shared" si="0"/>
        <v>0</v>
      </c>
    </row>
    <row r="20" spans="1:8">
      <c r="A20" s="445">
        <v>13</v>
      </c>
      <c r="B20" s="444" t="s">
        <v>70</v>
      </c>
      <c r="C20" s="760"/>
      <c r="D20" s="760"/>
      <c r="E20" s="760"/>
      <c r="F20" s="760"/>
      <c r="G20" s="760"/>
      <c r="H20" s="761">
        <f t="shared" si="0"/>
        <v>0</v>
      </c>
    </row>
    <row r="21" spans="1:8">
      <c r="A21" s="443">
        <v>14</v>
      </c>
      <c r="B21" s="442" t="s">
        <v>469</v>
      </c>
      <c r="C21" s="760">
        <v>197510226</v>
      </c>
      <c r="D21" s="760">
        <v>16238218.099312639</v>
      </c>
      <c r="E21" s="760">
        <v>270172.7324000001</v>
      </c>
      <c r="F21" s="760">
        <v>0</v>
      </c>
      <c r="G21" s="760">
        <v>86775578</v>
      </c>
      <c r="H21" s="761">
        <f>SUM(C21:G21)</f>
        <v>300794194.8317126</v>
      </c>
    </row>
    <row r="22" spans="1:8">
      <c r="A22" s="441">
        <v>15</v>
      </c>
      <c r="B22" s="440" t="s">
        <v>66</v>
      </c>
      <c r="C22" s="761">
        <f>SUM(C18:C21)+SUM(C8:C16)</f>
        <v>204477534.56720001</v>
      </c>
      <c r="D22" s="761">
        <f t="shared" ref="D22:H22" si="1">SUM(D18:D21)+SUM(D8:D16)</f>
        <v>73494332.716712639</v>
      </c>
      <c r="E22" s="761">
        <f t="shared" si="1"/>
        <v>66311637.596399933</v>
      </c>
      <c r="F22" s="761">
        <f t="shared" si="1"/>
        <v>10777967.083100002</v>
      </c>
      <c r="G22" s="761">
        <f t="shared" si="1"/>
        <v>86775578</v>
      </c>
      <c r="H22" s="761">
        <f t="shared" si="1"/>
        <v>441837049.96341252</v>
      </c>
    </row>
    <row r="26" spans="1:8" ht="38.25">
      <c r="B26" s="360" t="s">
        <v>647</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70" zoomScaleNormal="70" workbookViewId="0">
      <selection activeCell="H24" sqref="H24"/>
    </sheetView>
  </sheetViews>
  <sheetFormatPr defaultColWidth="9.28515625" defaultRowHeight="12.75"/>
  <cols>
    <col min="1" max="1" width="11.7109375" style="344" bestFit="1" customWidth="1"/>
    <col min="2" max="2" width="86.7109375" style="340" customWidth="1"/>
    <col min="3" max="4" width="31.5703125" style="340" customWidth="1"/>
    <col min="5" max="5" width="16.42578125" style="346" bestFit="1" customWidth="1"/>
    <col min="6" max="6" width="14.28515625" style="346" bestFit="1" customWidth="1"/>
    <col min="7" max="7" width="20" style="340" bestFit="1" customWidth="1"/>
    <col min="8" max="8" width="25.28515625" style="340" bestFit="1" customWidth="1"/>
    <col min="9" max="16384" width="9.28515625" style="340"/>
  </cols>
  <sheetData>
    <row r="1" spans="1:8" ht="13.5">
      <c r="A1" s="339" t="s">
        <v>97</v>
      </c>
      <c r="B1" s="267" t="str">
        <f>Info!C2</f>
        <v>სს "ვითიბი ბანკი ჯორჯია"</v>
      </c>
      <c r="C1" s="459"/>
      <c r="D1" s="459"/>
      <c r="E1" s="459"/>
      <c r="F1" s="459"/>
      <c r="G1" s="459"/>
      <c r="H1" s="459"/>
    </row>
    <row r="2" spans="1:8">
      <c r="A2" s="341" t="s">
        <v>98</v>
      </c>
      <c r="B2" s="343">
        <f>'1. key ratios'!B2</f>
        <v>45930</v>
      </c>
      <c r="C2" s="459"/>
      <c r="D2" s="459"/>
      <c r="E2" s="459"/>
      <c r="F2" s="459"/>
      <c r="G2" s="459"/>
      <c r="H2" s="459"/>
    </row>
    <row r="3" spans="1:8">
      <c r="A3" s="342" t="s">
        <v>470</v>
      </c>
      <c r="B3" s="459"/>
      <c r="C3" s="459"/>
      <c r="D3" s="459"/>
      <c r="E3" s="459"/>
      <c r="F3" s="459"/>
      <c r="G3" s="459"/>
      <c r="H3" s="459"/>
    </row>
    <row r="4" spans="1:8">
      <c r="A4" s="460"/>
      <c r="B4" s="459"/>
      <c r="C4" s="458" t="s">
        <v>471</v>
      </c>
      <c r="D4" s="458" t="s">
        <v>472</v>
      </c>
      <c r="E4" s="458" t="s">
        <v>473</v>
      </c>
      <c r="F4" s="458" t="s">
        <v>474</v>
      </c>
      <c r="G4" s="458" t="s">
        <v>475</v>
      </c>
      <c r="H4" s="458" t="s">
        <v>476</v>
      </c>
    </row>
    <row r="5" spans="1:8" ht="34.15" customHeight="1">
      <c r="A5" s="881" t="s">
        <v>835</v>
      </c>
      <c r="B5" s="882"/>
      <c r="C5" s="895" t="s">
        <v>565</v>
      </c>
      <c r="D5" s="895"/>
      <c r="E5" s="895" t="s">
        <v>834</v>
      </c>
      <c r="F5" s="893" t="s">
        <v>833</v>
      </c>
      <c r="G5" s="893" t="s">
        <v>480</v>
      </c>
      <c r="H5" s="456" t="s">
        <v>832</v>
      </c>
    </row>
    <row r="6" spans="1:8" ht="25.5">
      <c r="A6" s="885"/>
      <c r="B6" s="886"/>
      <c r="C6" s="457" t="s">
        <v>481</v>
      </c>
      <c r="D6" s="457" t="s">
        <v>482</v>
      </c>
      <c r="E6" s="895"/>
      <c r="F6" s="894"/>
      <c r="G6" s="894"/>
      <c r="H6" s="456" t="s">
        <v>831</v>
      </c>
    </row>
    <row r="7" spans="1:8">
      <c r="A7" s="454">
        <v>1</v>
      </c>
      <c r="B7" s="442" t="s">
        <v>123</v>
      </c>
      <c r="C7" s="762"/>
      <c r="D7" s="762">
        <v>351</v>
      </c>
      <c r="E7" s="763"/>
      <c r="F7" s="763"/>
      <c r="G7" s="762"/>
      <c r="H7" s="447">
        <f t="shared" ref="H7:H20" si="0">C7+D7-E7-F7</f>
        <v>351</v>
      </c>
    </row>
    <row r="8" spans="1:8" ht="14.65" customHeight="1">
      <c r="A8" s="454">
        <v>2</v>
      </c>
      <c r="B8" s="442" t="s">
        <v>124</v>
      </c>
      <c r="C8" s="762"/>
      <c r="D8" s="762"/>
      <c r="E8" s="763"/>
      <c r="F8" s="763"/>
      <c r="G8" s="762"/>
      <c r="H8" s="447">
        <f t="shared" si="0"/>
        <v>0</v>
      </c>
    </row>
    <row r="9" spans="1:8">
      <c r="A9" s="454">
        <v>3</v>
      </c>
      <c r="B9" s="442" t="s">
        <v>125</v>
      </c>
      <c r="C9" s="762"/>
      <c r="D9" s="762"/>
      <c r="E9" s="763"/>
      <c r="F9" s="763"/>
      <c r="G9" s="762"/>
      <c r="H9" s="447">
        <f t="shared" si="0"/>
        <v>0</v>
      </c>
    </row>
    <row r="10" spans="1:8">
      <c r="A10" s="454">
        <v>4</v>
      </c>
      <c r="B10" s="442" t="s">
        <v>126</v>
      </c>
      <c r="C10" s="762"/>
      <c r="D10" s="762"/>
      <c r="E10" s="763"/>
      <c r="F10" s="763"/>
      <c r="G10" s="762"/>
      <c r="H10" s="447">
        <f t="shared" si="0"/>
        <v>0</v>
      </c>
    </row>
    <row r="11" spans="1:8">
      <c r="A11" s="454">
        <v>5</v>
      </c>
      <c r="B11" s="442" t="s">
        <v>912</v>
      </c>
      <c r="C11" s="762"/>
      <c r="D11" s="762"/>
      <c r="E11" s="763"/>
      <c r="F11" s="763"/>
      <c r="G11" s="762"/>
      <c r="H11" s="447">
        <f t="shared" si="0"/>
        <v>0</v>
      </c>
    </row>
    <row r="12" spans="1:8">
      <c r="A12" s="454">
        <v>6</v>
      </c>
      <c r="B12" s="442" t="s">
        <v>127</v>
      </c>
      <c r="C12" s="762"/>
      <c r="D12" s="762">
        <v>7082412.5671999995</v>
      </c>
      <c r="E12" s="763">
        <v>143</v>
      </c>
      <c r="F12" s="763"/>
      <c r="G12" s="762"/>
      <c r="H12" s="447">
        <f t="shared" si="0"/>
        <v>7082269.5671999995</v>
      </c>
    </row>
    <row r="13" spans="1:8">
      <c r="A13" s="454">
        <v>7</v>
      </c>
      <c r="B13" s="442" t="s">
        <v>71</v>
      </c>
      <c r="C13" s="762">
        <v>86199406.802302614</v>
      </c>
      <c r="D13" s="762">
        <v>69400761.998682871</v>
      </c>
      <c r="E13" s="763">
        <v>26250642.132632948</v>
      </c>
      <c r="F13" s="763">
        <v>0</v>
      </c>
      <c r="G13" s="762">
        <v>0</v>
      </c>
      <c r="H13" s="447">
        <f t="shared" si="0"/>
        <v>129349526.66835254</v>
      </c>
    </row>
    <row r="14" spans="1:8">
      <c r="A14" s="454">
        <v>8</v>
      </c>
      <c r="B14" s="444" t="s">
        <v>72</v>
      </c>
      <c r="C14" s="762">
        <v>0</v>
      </c>
      <c r="D14" s="762">
        <v>0</v>
      </c>
      <c r="E14" s="762">
        <v>0</v>
      </c>
      <c r="F14" s="763">
        <v>0</v>
      </c>
      <c r="G14" s="762">
        <v>0</v>
      </c>
      <c r="H14" s="447">
        <f t="shared" si="0"/>
        <v>0</v>
      </c>
    </row>
    <row r="15" spans="1:8" ht="24">
      <c r="A15" s="454">
        <v>9</v>
      </c>
      <c r="B15" s="442" t="s">
        <v>913</v>
      </c>
      <c r="C15" s="762">
        <v>150746.38367000001</v>
      </c>
      <c r="D15" s="762">
        <v>4518843.5771266203</v>
      </c>
      <c r="E15" s="763">
        <v>58830.763992052678</v>
      </c>
      <c r="F15" s="763">
        <v>0</v>
      </c>
      <c r="G15" s="762">
        <v>0</v>
      </c>
      <c r="H15" s="447">
        <f t="shared" si="0"/>
        <v>4610759.1968045682</v>
      </c>
    </row>
    <row r="16" spans="1:8">
      <c r="A16" s="454">
        <v>10</v>
      </c>
      <c r="B16" s="446" t="s">
        <v>483</v>
      </c>
      <c r="C16" s="762">
        <v>54536125.737166516</v>
      </c>
      <c r="D16" s="762">
        <v>0</v>
      </c>
      <c r="E16" s="763">
        <v>16993044.858108498</v>
      </c>
      <c r="F16" s="763">
        <v>0</v>
      </c>
      <c r="G16" s="762">
        <v>0</v>
      </c>
      <c r="H16" s="447">
        <f t="shared" si="0"/>
        <v>37543080.879058018</v>
      </c>
    </row>
    <row r="17" spans="1:8">
      <c r="A17" s="454">
        <v>11</v>
      </c>
      <c r="B17" s="442" t="s">
        <v>68</v>
      </c>
      <c r="C17" s="762">
        <v>0</v>
      </c>
      <c r="D17" s="762">
        <v>0</v>
      </c>
      <c r="E17" s="763">
        <v>0</v>
      </c>
      <c r="F17" s="763">
        <v>0</v>
      </c>
      <c r="G17" s="762">
        <v>0</v>
      </c>
      <c r="H17" s="447">
        <f t="shared" si="0"/>
        <v>0</v>
      </c>
    </row>
    <row r="18" spans="1:8">
      <c r="A18" s="454">
        <v>12</v>
      </c>
      <c r="B18" s="442" t="s">
        <v>69</v>
      </c>
      <c r="C18" s="762"/>
      <c r="D18" s="762"/>
      <c r="E18" s="763"/>
      <c r="F18" s="763"/>
      <c r="G18" s="762"/>
      <c r="H18" s="447">
        <f t="shared" si="0"/>
        <v>0</v>
      </c>
    </row>
    <row r="19" spans="1:8">
      <c r="A19" s="455">
        <v>13</v>
      </c>
      <c r="B19" s="444" t="s">
        <v>70</v>
      </c>
      <c r="C19" s="762"/>
      <c r="D19" s="762"/>
      <c r="E19" s="763"/>
      <c r="F19" s="763"/>
      <c r="G19" s="762"/>
      <c r="H19" s="447">
        <f t="shared" si="0"/>
        <v>0</v>
      </c>
    </row>
    <row r="20" spans="1:8">
      <c r="A20" s="454">
        <v>14</v>
      </c>
      <c r="B20" s="442" t="s">
        <v>469</v>
      </c>
      <c r="C20" s="762">
        <v>0</v>
      </c>
      <c r="D20" s="762">
        <f>' 17. Residual Maturity'!H21+'9. Capital'!C15</f>
        <v>301650724.0817126</v>
      </c>
      <c r="E20" s="763">
        <v>0</v>
      </c>
      <c r="F20" s="763">
        <v>0</v>
      </c>
      <c r="G20" s="762"/>
      <c r="H20" s="447">
        <f t="shared" si="0"/>
        <v>301650724.0817126</v>
      </c>
    </row>
    <row r="21" spans="1:8" s="345" customFormat="1">
      <c r="A21" s="453">
        <v>15</v>
      </c>
      <c r="B21" s="452" t="s">
        <v>66</v>
      </c>
      <c r="C21" s="764">
        <f>SUM(C7:C15)+SUM(C17:C20)</f>
        <v>86350153.185972616</v>
      </c>
      <c r="D21" s="764">
        <f t="shared" ref="D21:G21" si="1">SUM(D7:D15)+SUM(D17:D20)</f>
        <v>382653093.22472209</v>
      </c>
      <c r="E21" s="764">
        <f>SUM(E7:E15)+SUM(E17:E20)</f>
        <v>26309615.896625001</v>
      </c>
      <c r="F21" s="764">
        <f t="shared" si="1"/>
        <v>0</v>
      </c>
      <c r="G21" s="764">
        <f t="shared" si="1"/>
        <v>0</v>
      </c>
      <c r="H21" s="447">
        <f t="shared" ref="H21" si="2">SUM(H7:H15)+SUM(H17:H20)</f>
        <v>442693630.51406974</v>
      </c>
    </row>
    <row r="22" spans="1:8">
      <c r="A22" s="451">
        <v>16</v>
      </c>
      <c r="B22" s="450" t="s">
        <v>484</v>
      </c>
      <c r="C22" s="762">
        <v>86350153.185972601</v>
      </c>
      <c r="D22" s="762">
        <v>73919605.575809494</v>
      </c>
      <c r="E22" s="762">
        <v>26309472.896625005</v>
      </c>
      <c r="F22" s="763">
        <v>0</v>
      </c>
      <c r="G22" s="762"/>
      <c r="H22" s="447">
        <f>C22+D22-E22-F22</f>
        <v>133960285.8651571</v>
      </c>
    </row>
    <row r="23" spans="1:8">
      <c r="A23" s="451">
        <v>17</v>
      </c>
      <c r="B23" s="450" t="s">
        <v>485</v>
      </c>
      <c r="C23" s="448"/>
      <c r="D23" s="448"/>
      <c r="E23" s="449"/>
      <c r="F23" s="449"/>
      <c r="G23" s="448"/>
      <c r="H23" s="447">
        <f>C23+D23-E23-F23</f>
        <v>0</v>
      </c>
    </row>
    <row r="24" spans="1:8">
      <c r="C24" s="765">
        <f>C21-'24. Risk Sector'!F33</f>
        <v>0</v>
      </c>
      <c r="D24" s="757">
        <f>SUM(D13,D15)-D22</f>
        <v>0</v>
      </c>
      <c r="E24" s="766">
        <f>E22-'24. Risk Sector'!H33</f>
        <v>0</v>
      </c>
      <c r="H24" s="767">
        <f>H21-'2. SOFP'!E36</f>
        <v>-0.12458699941635132</v>
      </c>
    </row>
    <row r="25" spans="1:8">
      <c r="C25" s="765">
        <f>C21-C22</f>
        <v>0</v>
      </c>
      <c r="E25" s="340"/>
      <c r="F25" s="340"/>
      <c r="H25" s="767">
        <f>H22-'2. SOFP'!E21</f>
        <v>0</v>
      </c>
    </row>
    <row r="26" spans="1:8" ht="42.4" customHeight="1">
      <c r="B26" s="360" t="s">
        <v>647</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topLeftCell="A4" zoomScale="70" zoomScaleNormal="70" workbookViewId="0">
      <selection activeCell="C7" sqref="C7:G34"/>
    </sheetView>
  </sheetViews>
  <sheetFormatPr defaultColWidth="9.28515625" defaultRowHeight="12.75"/>
  <cols>
    <col min="1" max="1" width="11" style="340" bestFit="1" customWidth="1"/>
    <col min="2" max="2" width="47.28515625" style="340" customWidth="1"/>
    <col min="3" max="3" width="21.7109375" style="340" bestFit="1" customWidth="1"/>
    <col min="4" max="4" width="25.28515625" style="340" bestFit="1" customWidth="1"/>
    <col min="5" max="7" width="15.5703125" style="340" customWidth="1"/>
    <col min="8" max="8" width="25.7109375" style="340" bestFit="1" customWidth="1"/>
    <col min="9" max="16384" width="9.28515625" style="340"/>
  </cols>
  <sheetData>
    <row r="1" spans="1:8" ht="13.5">
      <c r="A1" s="339" t="s">
        <v>97</v>
      </c>
      <c r="B1" s="267" t="str">
        <f>Info!C2</f>
        <v>სს "ვითიბი ბანკი ჯორჯია"</v>
      </c>
      <c r="C1" s="459"/>
      <c r="D1" s="459"/>
      <c r="E1" s="459"/>
      <c r="F1" s="459"/>
      <c r="G1" s="459"/>
      <c r="H1" s="459"/>
    </row>
    <row r="2" spans="1:8">
      <c r="A2" s="341" t="s">
        <v>98</v>
      </c>
      <c r="B2" s="343">
        <f>'1. key ratios'!B2</f>
        <v>45930</v>
      </c>
      <c r="C2" s="459"/>
      <c r="D2" s="459"/>
      <c r="E2" s="459"/>
      <c r="F2" s="459"/>
      <c r="G2" s="459"/>
      <c r="H2" s="459"/>
    </row>
    <row r="3" spans="1:8">
      <c r="A3" s="342" t="s">
        <v>486</v>
      </c>
      <c r="B3" s="459"/>
      <c r="C3" s="459"/>
      <c r="D3" s="459"/>
      <c r="E3" s="459"/>
      <c r="F3" s="459"/>
      <c r="G3" s="459"/>
      <c r="H3" s="459"/>
    </row>
    <row r="4" spans="1:8">
      <c r="A4" s="459"/>
      <c r="B4" s="459"/>
      <c r="C4" s="458" t="s">
        <v>471</v>
      </c>
      <c r="D4" s="458" t="s">
        <v>472</v>
      </c>
      <c r="E4" s="458" t="s">
        <v>473</v>
      </c>
      <c r="F4" s="458" t="s">
        <v>474</v>
      </c>
      <c r="G4" s="458" t="s">
        <v>475</v>
      </c>
      <c r="H4" s="458" t="s">
        <v>476</v>
      </c>
    </row>
    <row r="5" spans="1:8" ht="41.65" customHeight="1">
      <c r="A5" s="881" t="s">
        <v>837</v>
      </c>
      <c r="B5" s="882"/>
      <c r="C5" s="896" t="s">
        <v>565</v>
      </c>
      <c r="D5" s="897"/>
      <c r="E5" s="893" t="s">
        <v>834</v>
      </c>
      <c r="F5" s="893" t="s">
        <v>833</v>
      </c>
      <c r="G5" s="893" t="s">
        <v>480</v>
      </c>
      <c r="H5" s="456" t="s">
        <v>832</v>
      </c>
    </row>
    <row r="6" spans="1:8" ht="38.25">
      <c r="A6" s="885"/>
      <c r="B6" s="886"/>
      <c r="C6" s="457" t="s">
        <v>481</v>
      </c>
      <c r="D6" s="457" t="s">
        <v>482</v>
      </c>
      <c r="E6" s="894"/>
      <c r="F6" s="894"/>
      <c r="G6" s="894"/>
      <c r="H6" s="456" t="s">
        <v>831</v>
      </c>
    </row>
    <row r="7" spans="1:8">
      <c r="A7" s="448">
        <v>1</v>
      </c>
      <c r="B7" s="463" t="s">
        <v>487</v>
      </c>
      <c r="C7" s="770"/>
      <c r="D7" s="770">
        <v>351</v>
      </c>
      <c r="E7" s="770"/>
      <c r="F7" s="770"/>
      <c r="G7" s="770"/>
      <c r="H7" s="447">
        <f t="shared" ref="H7:H34" si="0">C7+D7-E7-F7</f>
        <v>351</v>
      </c>
    </row>
    <row r="8" spans="1:8">
      <c r="A8" s="448">
        <v>2</v>
      </c>
      <c r="B8" s="463" t="s">
        <v>488</v>
      </c>
      <c r="C8" s="770">
        <v>0</v>
      </c>
      <c r="D8" s="770">
        <v>7441228.3071999997</v>
      </c>
      <c r="E8" s="770">
        <v>5733</v>
      </c>
      <c r="F8" s="770"/>
      <c r="G8" s="770"/>
      <c r="H8" s="447">
        <f t="shared" si="0"/>
        <v>7435495.3071999997</v>
      </c>
    </row>
    <row r="9" spans="1:8">
      <c r="A9" s="448">
        <v>3</v>
      </c>
      <c r="B9" s="463" t="s">
        <v>836</v>
      </c>
      <c r="C9" s="770">
        <v>0</v>
      </c>
      <c r="D9" s="770">
        <v>0</v>
      </c>
      <c r="E9" s="770">
        <v>0</v>
      </c>
      <c r="F9" s="770"/>
      <c r="G9" s="770"/>
      <c r="H9" s="447">
        <f t="shared" si="0"/>
        <v>0</v>
      </c>
    </row>
    <row r="10" spans="1:8">
      <c r="A10" s="448">
        <v>4</v>
      </c>
      <c r="B10" s="463" t="s">
        <v>489</v>
      </c>
      <c r="C10" s="770">
        <v>678468.88320000004</v>
      </c>
      <c r="D10" s="770">
        <v>0</v>
      </c>
      <c r="E10" s="770">
        <v>439465.29063120455</v>
      </c>
      <c r="F10" s="770"/>
      <c r="G10" s="770"/>
      <c r="H10" s="447">
        <f t="shared" si="0"/>
        <v>239003.59256879549</v>
      </c>
    </row>
    <row r="11" spans="1:8">
      <c r="A11" s="448">
        <v>5</v>
      </c>
      <c r="B11" s="463" t="s">
        <v>490</v>
      </c>
      <c r="C11" s="770">
        <v>716460.968016</v>
      </c>
      <c r="D11" s="770">
        <v>4051559.8236999996</v>
      </c>
      <c r="E11" s="770">
        <v>263695.60170478799</v>
      </c>
      <c r="F11" s="770"/>
      <c r="G11" s="770"/>
      <c r="H11" s="447">
        <f t="shared" si="0"/>
        <v>4504325.1900112117</v>
      </c>
    </row>
    <row r="12" spans="1:8">
      <c r="A12" s="448">
        <v>6</v>
      </c>
      <c r="B12" s="463" t="s">
        <v>491</v>
      </c>
      <c r="C12" s="770">
        <v>0</v>
      </c>
      <c r="D12" s="770">
        <v>0</v>
      </c>
      <c r="E12" s="770">
        <v>0</v>
      </c>
      <c r="F12" s="770"/>
      <c r="G12" s="770"/>
      <c r="H12" s="447">
        <f t="shared" si="0"/>
        <v>0</v>
      </c>
    </row>
    <row r="13" spans="1:8">
      <c r="A13" s="448">
        <v>7</v>
      </c>
      <c r="B13" s="463" t="s">
        <v>492</v>
      </c>
      <c r="C13" s="770">
        <v>0</v>
      </c>
      <c r="D13" s="770">
        <v>0</v>
      </c>
      <c r="E13" s="770">
        <v>0</v>
      </c>
      <c r="F13" s="770"/>
      <c r="G13" s="770"/>
      <c r="H13" s="447">
        <f t="shared" si="0"/>
        <v>0</v>
      </c>
    </row>
    <row r="14" spans="1:8">
      <c r="A14" s="448">
        <v>8</v>
      </c>
      <c r="B14" s="463" t="s">
        <v>493</v>
      </c>
      <c r="C14" s="770">
        <v>32793826.451648675</v>
      </c>
      <c r="D14" s="770">
        <v>7784795.8252940001</v>
      </c>
      <c r="E14" s="770">
        <v>8532224.0964744277</v>
      </c>
      <c r="F14" s="770"/>
      <c r="G14" s="770"/>
      <c r="H14" s="447">
        <f t="shared" si="0"/>
        <v>32046398.18046825</v>
      </c>
    </row>
    <row r="15" spans="1:8">
      <c r="A15" s="448">
        <v>9</v>
      </c>
      <c r="B15" s="463" t="s">
        <v>494</v>
      </c>
      <c r="C15" s="770">
        <v>21682458.868799999</v>
      </c>
      <c r="D15" s="770">
        <v>3131154.3818119997</v>
      </c>
      <c r="E15" s="770">
        <v>4947437.4849611558</v>
      </c>
      <c r="F15" s="770"/>
      <c r="G15" s="770"/>
      <c r="H15" s="447">
        <f t="shared" si="0"/>
        <v>19866175.765650842</v>
      </c>
    </row>
    <row r="16" spans="1:8" ht="25.5">
      <c r="A16" s="448">
        <v>10</v>
      </c>
      <c r="B16" s="463" t="s">
        <v>495</v>
      </c>
      <c r="C16" s="770">
        <v>7899.9</v>
      </c>
      <c r="D16" s="770">
        <v>0</v>
      </c>
      <c r="E16" s="770">
        <v>7899.9</v>
      </c>
      <c r="F16" s="770"/>
      <c r="G16" s="770"/>
      <c r="H16" s="447">
        <f t="shared" si="0"/>
        <v>0</v>
      </c>
    </row>
    <row r="17" spans="1:9" ht="25.5">
      <c r="A17" s="448">
        <v>11</v>
      </c>
      <c r="B17" s="463" t="s">
        <v>496</v>
      </c>
      <c r="C17" s="770">
        <v>0</v>
      </c>
      <c r="D17" s="770">
        <v>0</v>
      </c>
      <c r="E17" s="770">
        <v>0</v>
      </c>
      <c r="F17" s="770"/>
      <c r="G17" s="770"/>
      <c r="H17" s="447">
        <f t="shared" si="0"/>
        <v>0</v>
      </c>
    </row>
    <row r="18" spans="1:9">
      <c r="A18" s="448">
        <v>12</v>
      </c>
      <c r="B18" s="463" t="s">
        <v>497</v>
      </c>
      <c r="C18" s="770">
        <v>841931.07</v>
      </c>
      <c r="D18" s="770">
        <v>0</v>
      </c>
      <c r="E18" s="770">
        <v>841931.07</v>
      </c>
      <c r="F18" s="770"/>
      <c r="G18" s="770"/>
      <c r="H18" s="447">
        <f t="shared" si="0"/>
        <v>0</v>
      </c>
    </row>
    <row r="19" spans="1:9">
      <c r="A19" s="448">
        <v>13</v>
      </c>
      <c r="B19" s="463" t="s">
        <v>498</v>
      </c>
      <c r="C19" s="770">
        <v>0</v>
      </c>
      <c r="D19" s="770">
        <v>4268893.4656834239</v>
      </c>
      <c r="E19" s="770">
        <v>426809.41703704966</v>
      </c>
      <c r="F19" s="770"/>
      <c r="G19" s="770"/>
      <c r="H19" s="447">
        <f t="shared" si="0"/>
        <v>3842084.0486463741</v>
      </c>
    </row>
    <row r="20" spans="1:9">
      <c r="A20" s="448">
        <v>14</v>
      </c>
      <c r="B20" s="463" t="s">
        <v>499</v>
      </c>
      <c r="C20" s="770">
        <v>13371798.591594901</v>
      </c>
      <c r="D20" s="770">
        <v>26035774.838704005</v>
      </c>
      <c r="E20" s="770">
        <v>5000746.0730229253</v>
      </c>
      <c r="F20" s="770"/>
      <c r="G20" s="770"/>
      <c r="H20" s="447">
        <f t="shared" si="0"/>
        <v>34406827.357275985</v>
      </c>
    </row>
    <row r="21" spans="1:9" ht="25.5">
      <c r="A21" s="448">
        <v>15</v>
      </c>
      <c r="B21" s="463" t="s">
        <v>500</v>
      </c>
      <c r="C21" s="770">
        <v>0</v>
      </c>
      <c r="D21" s="770">
        <v>0</v>
      </c>
      <c r="E21" s="770">
        <v>0</v>
      </c>
      <c r="F21" s="770"/>
      <c r="G21" s="770"/>
      <c r="H21" s="447">
        <f t="shared" si="0"/>
        <v>0</v>
      </c>
    </row>
    <row r="22" spans="1:9">
      <c r="A22" s="448">
        <v>16</v>
      </c>
      <c r="B22" s="463" t="s">
        <v>501</v>
      </c>
      <c r="C22" s="770">
        <v>0</v>
      </c>
      <c r="D22" s="770">
        <v>0</v>
      </c>
      <c r="E22" s="770">
        <v>0</v>
      </c>
      <c r="F22" s="770"/>
      <c r="G22" s="770"/>
      <c r="H22" s="447">
        <f t="shared" si="0"/>
        <v>0</v>
      </c>
    </row>
    <row r="23" spans="1:9" ht="25.5">
      <c r="A23" s="448">
        <v>17</v>
      </c>
      <c r="B23" s="463" t="s">
        <v>502</v>
      </c>
      <c r="C23" s="770">
        <v>4222141.5488</v>
      </c>
      <c r="D23" s="770">
        <v>13151897.623546448</v>
      </c>
      <c r="E23" s="770">
        <v>2200189.6000786722</v>
      </c>
      <c r="F23" s="770"/>
      <c r="G23" s="770"/>
      <c r="H23" s="447">
        <f t="shared" si="0"/>
        <v>15173849.572267774</v>
      </c>
    </row>
    <row r="24" spans="1:9">
      <c r="A24" s="448">
        <v>18</v>
      </c>
      <c r="B24" s="463" t="s">
        <v>503</v>
      </c>
      <c r="C24" s="770">
        <v>0</v>
      </c>
      <c r="D24" s="770">
        <v>0</v>
      </c>
      <c r="E24" s="770">
        <v>0</v>
      </c>
      <c r="F24" s="770"/>
      <c r="G24" s="770"/>
      <c r="H24" s="447">
        <f t="shared" si="0"/>
        <v>0</v>
      </c>
    </row>
    <row r="25" spans="1:9">
      <c r="A25" s="448">
        <v>19</v>
      </c>
      <c r="B25" s="463" t="s">
        <v>504</v>
      </c>
      <c r="C25" s="770">
        <v>0</v>
      </c>
      <c r="D25" s="770">
        <v>0</v>
      </c>
      <c r="E25" s="770">
        <v>0</v>
      </c>
      <c r="F25" s="770"/>
      <c r="G25" s="770"/>
      <c r="H25" s="447">
        <f t="shared" si="0"/>
        <v>0</v>
      </c>
    </row>
    <row r="26" spans="1:9">
      <c r="A26" s="448">
        <v>20</v>
      </c>
      <c r="B26" s="463" t="s">
        <v>505</v>
      </c>
      <c r="C26" s="770">
        <v>0</v>
      </c>
      <c r="D26" s="770">
        <v>5421215.7500000009</v>
      </c>
      <c r="E26" s="770">
        <v>4496.4102567016644</v>
      </c>
      <c r="F26" s="770"/>
      <c r="G26" s="770"/>
      <c r="H26" s="447">
        <f t="shared" si="0"/>
        <v>5416719.3397432994</v>
      </c>
      <c r="I26" s="347"/>
    </row>
    <row r="27" spans="1:9">
      <c r="A27" s="448">
        <v>21</v>
      </c>
      <c r="B27" s="463" t="s">
        <v>506</v>
      </c>
      <c r="C27" s="770">
        <v>0</v>
      </c>
      <c r="D27" s="770">
        <v>0</v>
      </c>
      <c r="E27" s="770">
        <v>0</v>
      </c>
      <c r="F27" s="770"/>
      <c r="G27" s="770"/>
      <c r="H27" s="447">
        <f t="shared" si="0"/>
        <v>0</v>
      </c>
      <c r="I27" s="347"/>
    </row>
    <row r="28" spans="1:9">
      <c r="A28" s="448">
        <v>22</v>
      </c>
      <c r="B28" s="463" t="s">
        <v>507</v>
      </c>
      <c r="C28" s="770">
        <v>0</v>
      </c>
      <c r="D28" s="770">
        <v>0</v>
      </c>
      <c r="E28" s="770">
        <v>0</v>
      </c>
      <c r="F28" s="770"/>
      <c r="G28" s="770"/>
      <c r="H28" s="447">
        <f t="shared" si="0"/>
        <v>0</v>
      </c>
      <c r="I28" s="347"/>
    </row>
    <row r="29" spans="1:9">
      <c r="A29" s="448">
        <v>23</v>
      </c>
      <c r="B29" s="463" t="s">
        <v>508</v>
      </c>
      <c r="C29" s="770">
        <v>9457861.1731930301</v>
      </c>
      <c r="D29" s="770">
        <v>1595403.1431</v>
      </c>
      <c r="E29" s="770">
        <v>2940151.4422675529</v>
      </c>
      <c r="F29" s="770"/>
      <c r="G29" s="770"/>
      <c r="H29" s="447">
        <f t="shared" si="0"/>
        <v>8113112.874025478</v>
      </c>
      <c r="I29" s="347"/>
    </row>
    <row r="30" spans="1:9">
      <c r="A30" s="448">
        <v>24</v>
      </c>
      <c r="B30" s="463" t="s">
        <v>509</v>
      </c>
      <c r="C30" s="770">
        <v>1911093.1954500002</v>
      </c>
      <c r="D30" s="770">
        <v>1923549.1377000003</v>
      </c>
      <c r="E30" s="770">
        <v>347555.41410848103</v>
      </c>
      <c r="F30" s="770"/>
      <c r="G30" s="770"/>
      <c r="H30" s="447">
        <f t="shared" si="0"/>
        <v>3487086.9190415191</v>
      </c>
      <c r="I30" s="347"/>
    </row>
    <row r="31" spans="1:9">
      <c r="A31" s="448">
        <v>25</v>
      </c>
      <c r="B31" s="463" t="s">
        <v>510</v>
      </c>
      <c r="C31" s="770">
        <v>0</v>
      </c>
      <c r="D31" s="770">
        <v>0</v>
      </c>
      <c r="E31" s="770">
        <v>0</v>
      </c>
      <c r="F31" s="770"/>
      <c r="G31" s="770"/>
      <c r="H31" s="447">
        <f t="shared" si="0"/>
        <v>0</v>
      </c>
      <c r="I31" s="347"/>
    </row>
    <row r="32" spans="1:9" ht="25.5">
      <c r="A32" s="448">
        <v>26</v>
      </c>
      <c r="B32" s="463" t="s">
        <v>511</v>
      </c>
      <c r="C32" s="770">
        <v>666212.53526999999</v>
      </c>
      <c r="D32" s="770">
        <v>6196545.8462695992</v>
      </c>
      <c r="E32" s="770">
        <v>351280.74685283075</v>
      </c>
      <c r="F32" s="770"/>
      <c r="G32" s="770"/>
      <c r="H32" s="447">
        <f t="shared" si="0"/>
        <v>6511477.6346867681</v>
      </c>
      <c r="I32" s="347"/>
    </row>
    <row r="33" spans="1:9">
      <c r="A33" s="448">
        <v>27</v>
      </c>
      <c r="B33" s="449" t="s">
        <v>88</v>
      </c>
      <c r="C33" s="770">
        <v>0</v>
      </c>
      <c r="D33" s="770">
        <f>'18. Assets by Exposure classes'!D20</f>
        <v>301650724.0817126</v>
      </c>
      <c r="E33" s="770">
        <v>0</v>
      </c>
      <c r="F33" s="770"/>
      <c r="G33" s="770"/>
      <c r="H33" s="447">
        <f t="shared" si="0"/>
        <v>301650724.0817126</v>
      </c>
      <c r="I33" s="347"/>
    </row>
    <row r="34" spans="1:9">
      <c r="A34" s="448">
        <v>28</v>
      </c>
      <c r="B34" s="462" t="s">
        <v>66</v>
      </c>
      <c r="C34" s="771">
        <f t="shared" ref="C34:F34" si="1">SUM(C7:C33)</f>
        <v>86350153.185972616</v>
      </c>
      <c r="D34" s="771">
        <f t="shared" si="1"/>
        <v>382653093.22472209</v>
      </c>
      <c r="E34" s="771">
        <f t="shared" si="1"/>
        <v>26309615.547395788</v>
      </c>
      <c r="F34" s="771">
        <f t="shared" si="1"/>
        <v>0</v>
      </c>
      <c r="G34" s="771">
        <f>SUM(G7:G33)</f>
        <v>0</v>
      </c>
      <c r="H34" s="447">
        <f t="shared" si="0"/>
        <v>442693630.86329895</v>
      </c>
      <c r="I34" s="347"/>
    </row>
    <row r="35" spans="1:9">
      <c r="A35" s="347"/>
      <c r="B35" s="347"/>
      <c r="C35" s="772">
        <f>C34-'18. Assets by Exposure classes'!C21</f>
        <v>0</v>
      </c>
      <c r="D35" s="772">
        <f>D34-'18. Assets by Exposure classes'!D21</f>
        <v>0</v>
      </c>
      <c r="E35" s="772">
        <f>E34-'18. Assets by Exposure classes'!E21</f>
        <v>-0.34922921285033226</v>
      </c>
      <c r="F35" s="347"/>
      <c r="G35" s="347"/>
      <c r="H35" s="772">
        <f>H34-'2. SOFP'!E36</f>
        <v>0.22464221715927124</v>
      </c>
      <c r="I35" s="347"/>
    </row>
    <row r="36" spans="1:9">
      <c r="A36" s="347"/>
      <c r="B36" s="348"/>
      <c r="C36" s="772">
        <f>SUM(C7:C32)-'18. Assets by Exposure classes'!C22</f>
        <v>0</v>
      </c>
      <c r="D36" s="772">
        <f>SUM(D7:D32)-'18. Assets by Exposure classes'!D22-D8+358453</f>
        <v>-11.740000024437904</v>
      </c>
      <c r="E36" s="772">
        <f>SUM(E7:E32)-'24. Risk Sector'!H33-144</f>
        <v>-1.3492292053997517</v>
      </c>
      <c r="F36" s="347"/>
      <c r="G36" s="347"/>
      <c r="H36" s="347"/>
      <c r="I36" s="347"/>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9"/>
  <sheetViews>
    <sheetView showGridLines="0" zoomScale="80" zoomScaleNormal="80" workbookViewId="0">
      <selection activeCell="C6" sqref="C6:C15"/>
    </sheetView>
  </sheetViews>
  <sheetFormatPr defaultColWidth="9.28515625" defaultRowHeight="12.75"/>
  <cols>
    <col min="1" max="1" width="11.7109375" style="340" bestFit="1" customWidth="1"/>
    <col min="2" max="2" width="108" style="340" bestFit="1" customWidth="1"/>
    <col min="3" max="3" width="35.5703125" style="340" customWidth="1"/>
    <col min="4" max="4" width="38.42578125" style="346" customWidth="1"/>
    <col min="5" max="16384" width="9.28515625" style="340"/>
  </cols>
  <sheetData>
    <row r="1" spans="1:4" ht="13.5">
      <c r="A1" s="339" t="s">
        <v>97</v>
      </c>
      <c r="B1" s="267" t="str">
        <f>Info!C2</f>
        <v>სს "ვითიბი ბანკი ჯორჯია"</v>
      </c>
      <c r="D1" s="340"/>
    </row>
    <row r="2" spans="1:4">
      <c r="A2" s="341" t="s">
        <v>98</v>
      </c>
      <c r="B2" s="343">
        <f>'1. key ratios'!B2</f>
        <v>45930</v>
      </c>
      <c r="D2" s="340"/>
    </row>
    <row r="3" spans="1:4">
      <c r="A3" s="342" t="s">
        <v>512</v>
      </c>
      <c r="D3" s="340"/>
    </row>
    <row r="5" spans="1:4">
      <c r="A5" s="898" t="s">
        <v>848</v>
      </c>
      <c r="B5" s="898"/>
      <c r="C5" s="773" t="s">
        <v>531</v>
      </c>
      <c r="D5" s="473" t="s">
        <v>847</v>
      </c>
    </row>
    <row r="6" spans="1:4">
      <c r="A6" s="472">
        <v>1</v>
      </c>
      <c r="B6" s="465" t="s">
        <v>846</v>
      </c>
      <c r="C6" s="774">
        <v>23564223.283144657</v>
      </c>
      <c r="D6" s="467"/>
    </row>
    <row r="7" spans="1:4">
      <c r="A7" s="469">
        <v>2</v>
      </c>
      <c r="B7" s="465" t="s">
        <v>845</v>
      </c>
      <c r="C7" s="774">
        <f>SUM(C8:C9)</f>
        <v>2745392</v>
      </c>
      <c r="D7" s="467">
        <f>SUM(D8:D9)</f>
        <v>0</v>
      </c>
    </row>
    <row r="8" spans="1:4">
      <c r="A8" s="471">
        <v>2.1</v>
      </c>
      <c r="B8" s="470" t="s">
        <v>844</v>
      </c>
      <c r="C8" s="774"/>
      <c r="D8" s="467"/>
    </row>
    <row r="9" spans="1:4">
      <c r="A9" s="471">
        <v>2.2000000000000002</v>
      </c>
      <c r="B9" s="470" t="s">
        <v>843</v>
      </c>
      <c r="C9" s="774">
        <v>2745392</v>
      </c>
      <c r="D9" s="467"/>
    </row>
    <row r="10" spans="1:4">
      <c r="A10" s="472">
        <v>3</v>
      </c>
      <c r="B10" s="465" t="s">
        <v>842</v>
      </c>
      <c r="C10" s="774">
        <f>SUM(C11:C13)</f>
        <v>0</v>
      </c>
      <c r="D10" s="467">
        <f>SUM(D11:D13)</f>
        <v>0</v>
      </c>
    </row>
    <row r="11" spans="1:4">
      <c r="A11" s="471">
        <v>3.1</v>
      </c>
      <c r="B11" s="470" t="s">
        <v>513</v>
      </c>
      <c r="C11" s="774"/>
      <c r="D11" s="467"/>
    </row>
    <row r="12" spans="1:4">
      <c r="A12" s="471">
        <v>3.2</v>
      </c>
      <c r="B12" s="470" t="s">
        <v>841</v>
      </c>
      <c r="C12" s="774"/>
      <c r="D12" s="467"/>
    </row>
    <row r="13" spans="1:4">
      <c r="A13" s="471">
        <v>3.3</v>
      </c>
      <c r="B13" s="470" t="s">
        <v>840</v>
      </c>
      <c r="C13" s="774"/>
      <c r="D13" s="467"/>
    </row>
    <row r="14" spans="1:4">
      <c r="A14" s="469">
        <v>4</v>
      </c>
      <c r="B14" s="468" t="s">
        <v>839</v>
      </c>
      <c r="C14" s="774"/>
      <c r="D14" s="467"/>
    </row>
    <row r="15" spans="1:4">
      <c r="A15" s="466">
        <v>5</v>
      </c>
      <c r="B15" s="465" t="s">
        <v>838</v>
      </c>
      <c r="C15" s="756">
        <f>C6+C7-C10+C14</f>
        <v>26309615.283144657</v>
      </c>
      <c r="D15" s="464">
        <f>D6+D7-D10+D14</f>
        <v>0</v>
      </c>
    </row>
    <row r="16" spans="1:4">
      <c r="C16" s="755">
        <f>C15-('19. Assets by Risk Sectors'!E34-'19. Assets by Risk Sectors'!E33)</f>
        <v>-0.26425113156437874</v>
      </c>
    </row>
    <row r="17" spans="3:3">
      <c r="C17" s="755"/>
    </row>
    <row r="18" spans="3:3">
      <c r="C18" s="755"/>
    </row>
    <row r="19" spans="3:3">
      <c r="C19" s="755"/>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80" zoomScaleNormal="80" workbookViewId="0">
      <selection activeCell="C7" sqref="C7:C18"/>
    </sheetView>
  </sheetViews>
  <sheetFormatPr defaultColWidth="9.28515625" defaultRowHeight="12.75"/>
  <cols>
    <col min="1" max="1" width="11.7109375" style="459" bestFit="1" customWidth="1"/>
    <col min="2" max="2" width="128.85546875" style="459" bestFit="1" customWidth="1"/>
    <col min="3" max="3" width="37" style="459" customWidth="1"/>
    <col min="4" max="4" width="50.5703125" style="459" customWidth="1"/>
    <col min="5" max="16384" width="9.28515625" style="459"/>
  </cols>
  <sheetData>
    <row r="1" spans="1:4" ht="13.5">
      <c r="A1" s="339" t="s">
        <v>97</v>
      </c>
      <c r="B1" s="267" t="str">
        <f>Info!C2</f>
        <v>სს "ვითიბი ბანკი ჯორჯია"</v>
      </c>
    </row>
    <row r="2" spans="1:4">
      <c r="A2" s="341" t="s">
        <v>98</v>
      </c>
      <c r="B2" s="343">
        <f>'1. key ratios'!B2</f>
        <v>45930</v>
      </c>
    </row>
    <row r="3" spans="1:4">
      <c r="A3" s="342" t="s">
        <v>514</v>
      </c>
    </row>
    <row r="4" spans="1:4">
      <c r="A4" s="342"/>
    </row>
    <row r="5" spans="1:4" ht="15" customHeight="1">
      <c r="A5" s="899" t="s">
        <v>515</v>
      </c>
      <c r="B5" s="900"/>
      <c r="C5" s="903" t="s">
        <v>516</v>
      </c>
      <c r="D5" s="903" t="s">
        <v>517</v>
      </c>
    </row>
    <row r="6" spans="1:4">
      <c r="A6" s="901"/>
      <c r="B6" s="902"/>
      <c r="C6" s="903"/>
      <c r="D6" s="903"/>
    </row>
    <row r="7" spans="1:4">
      <c r="A7" s="462">
        <v>1</v>
      </c>
      <c r="B7" s="452" t="s">
        <v>518</v>
      </c>
      <c r="C7" s="764">
        <v>86870251.571522325</v>
      </c>
      <c r="D7" s="474"/>
    </row>
    <row r="8" spans="1:4">
      <c r="A8" s="449">
        <v>2</v>
      </c>
      <c r="B8" s="449" t="s">
        <v>519</v>
      </c>
      <c r="C8" s="762">
        <v>50195.77</v>
      </c>
      <c r="D8" s="474"/>
    </row>
    <row r="9" spans="1:4">
      <c r="A9" s="449">
        <v>3</v>
      </c>
      <c r="B9" s="477" t="s">
        <v>520</v>
      </c>
      <c r="C9" s="762">
        <v>0</v>
      </c>
      <c r="D9" s="474"/>
    </row>
    <row r="10" spans="1:4">
      <c r="A10" s="449">
        <v>4</v>
      </c>
      <c r="B10" s="449" t="s">
        <v>521</v>
      </c>
      <c r="C10" s="762">
        <f>SUM(C11:C17)</f>
        <v>570294.0344</v>
      </c>
      <c r="D10" s="474"/>
    </row>
    <row r="11" spans="1:4">
      <c r="A11" s="449">
        <v>5</v>
      </c>
      <c r="B11" s="476" t="s">
        <v>849</v>
      </c>
      <c r="C11" s="762">
        <v>0</v>
      </c>
      <c r="D11" s="474"/>
    </row>
    <row r="12" spans="1:4">
      <c r="A12" s="449">
        <v>6</v>
      </c>
      <c r="B12" s="476" t="s">
        <v>522</v>
      </c>
      <c r="C12" s="762">
        <v>570294.0344</v>
      </c>
      <c r="D12" s="474"/>
    </row>
    <row r="13" spans="1:4">
      <c r="A13" s="449">
        <v>7</v>
      </c>
      <c r="B13" s="476" t="s">
        <v>525</v>
      </c>
      <c r="C13" s="762">
        <v>0</v>
      </c>
      <c r="D13" s="474"/>
    </row>
    <row r="14" spans="1:4">
      <c r="A14" s="449">
        <v>8</v>
      </c>
      <c r="B14" s="476" t="s">
        <v>523</v>
      </c>
      <c r="C14" s="762">
        <v>0</v>
      </c>
      <c r="D14" s="449"/>
    </row>
    <row r="15" spans="1:4">
      <c r="A15" s="449">
        <v>9</v>
      </c>
      <c r="B15" s="476" t="s">
        <v>524</v>
      </c>
      <c r="C15" s="762">
        <v>0</v>
      </c>
      <c r="D15" s="449"/>
    </row>
    <row r="16" spans="1:4">
      <c r="A16" s="449">
        <v>10</v>
      </c>
      <c r="B16" s="476" t="s">
        <v>526</v>
      </c>
      <c r="C16" s="762">
        <v>0</v>
      </c>
      <c r="D16" s="449"/>
    </row>
    <row r="17" spans="1:4" ht="25.5">
      <c r="A17" s="449">
        <v>11</v>
      </c>
      <c r="B17" s="476" t="s">
        <v>527</v>
      </c>
      <c r="C17" s="762">
        <v>0</v>
      </c>
      <c r="D17" s="474"/>
    </row>
    <row r="18" spans="1:4">
      <c r="A18" s="462">
        <v>12</v>
      </c>
      <c r="B18" s="475" t="s">
        <v>528</v>
      </c>
      <c r="C18" s="764">
        <f>C7+C8+C9-C10</f>
        <v>86350153.30712232</v>
      </c>
      <c r="D18" s="474"/>
    </row>
    <row r="19" spans="1:4">
      <c r="C19" s="775">
        <f>C18-'18. Assets by Exposure classes'!C22</f>
        <v>0.12114971876144409</v>
      </c>
    </row>
    <row r="21" spans="1:4">
      <c r="B21" s="339"/>
    </row>
    <row r="22" spans="1:4">
      <c r="B22" s="341"/>
    </row>
    <row r="23" spans="1:4">
      <c r="B23" s="342"/>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zoomScale="60" zoomScaleNormal="60" workbookViewId="0"/>
  </sheetViews>
  <sheetFormatPr defaultColWidth="9.28515625" defaultRowHeight="12.75"/>
  <cols>
    <col min="1" max="1" width="11.7109375" style="459" bestFit="1" customWidth="1"/>
    <col min="2" max="2" width="63.85546875" style="459" customWidth="1"/>
    <col min="3" max="3" width="15.5703125" style="459" customWidth="1"/>
    <col min="4" max="18" width="22.28515625" style="459" customWidth="1"/>
    <col min="19" max="19" width="23.28515625" style="459" bestFit="1" customWidth="1"/>
    <col min="20" max="26" width="22.28515625" style="459" customWidth="1"/>
    <col min="27" max="27" width="23.28515625" style="459" bestFit="1" customWidth="1"/>
    <col min="28" max="28" width="20" style="459" customWidth="1"/>
    <col min="29" max="16384" width="9.28515625" style="459"/>
  </cols>
  <sheetData>
    <row r="1" spans="1:28" ht="13.5">
      <c r="A1" s="339" t="s">
        <v>97</v>
      </c>
      <c r="B1" s="267" t="str">
        <f>Info!C2</f>
        <v>სს "ვითიბი ბანკი ჯორჯია"</v>
      </c>
    </row>
    <row r="2" spans="1:28">
      <c r="A2" s="341" t="s">
        <v>98</v>
      </c>
      <c r="B2" s="343">
        <f>'1. key ratios'!B2</f>
        <v>45930</v>
      </c>
      <c r="C2" s="460"/>
    </row>
    <row r="3" spans="1:28">
      <c r="A3" s="342" t="s">
        <v>529</v>
      </c>
      <c r="C3" s="775">
        <f>C8-'[4]FSF-SOFP'!$W$21</f>
        <v>-0.2800000011920929</v>
      </c>
      <c r="D3" s="775">
        <f>D8-'24. Risk Sector'!D33</f>
        <v>0</v>
      </c>
    </row>
    <row r="4" spans="1:28">
      <c r="C4" s="775">
        <f>C8-'24. Risk Sector'!C33</f>
        <v>-0.27999997138977051</v>
      </c>
      <c r="D4" s="775">
        <f>D8-'23. LTV'!D8</f>
        <v>0</v>
      </c>
    </row>
    <row r="5" spans="1:28" ht="15" customHeight="1">
      <c r="A5" s="904" t="s">
        <v>862</v>
      </c>
      <c r="B5" s="905"/>
      <c r="C5" s="910" t="s">
        <v>861</v>
      </c>
      <c r="D5" s="911"/>
      <c r="E5" s="911"/>
      <c r="F5" s="911"/>
      <c r="G5" s="911"/>
      <c r="H5" s="911"/>
      <c r="I5" s="911"/>
      <c r="J5" s="911"/>
      <c r="K5" s="911"/>
      <c r="L5" s="911"/>
      <c r="M5" s="911"/>
      <c r="N5" s="911"/>
      <c r="O5" s="911"/>
      <c r="P5" s="911"/>
      <c r="Q5" s="911"/>
      <c r="R5" s="911"/>
      <c r="S5" s="911"/>
      <c r="T5" s="492"/>
      <c r="U5" s="492"/>
      <c r="V5" s="492"/>
      <c r="W5" s="492"/>
      <c r="X5" s="492"/>
      <c r="Y5" s="492"/>
      <c r="Z5" s="492"/>
      <c r="AA5" s="491"/>
      <c r="AB5" s="482"/>
    </row>
    <row r="6" spans="1:28">
      <c r="A6" s="906"/>
      <c r="B6" s="907"/>
      <c r="C6" s="912" t="s">
        <v>66</v>
      </c>
      <c r="D6" s="914" t="s">
        <v>860</v>
      </c>
      <c r="E6" s="914"/>
      <c r="F6" s="914"/>
      <c r="G6" s="914"/>
      <c r="H6" s="915" t="s">
        <v>859</v>
      </c>
      <c r="I6" s="916"/>
      <c r="J6" s="916"/>
      <c r="K6" s="917"/>
      <c r="L6" s="490"/>
      <c r="M6" s="918" t="s">
        <v>858</v>
      </c>
      <c r="N6" s="918"/>
      <c r="O6" s="918"/>
      <c r="P6" s="918"/>
      <c r="Q6" s="918"/>
      <c r="R6" s="918"/>
      <c r="S6" s="894"/>
      <c r="T6" s="489"/>
      <c r="U6" s="897" t="s">
        <v>857</v>
      </c>
      <c r="V6" s="897"/>
      <c r="W6" s="897"/>
      <c r="X6" s="897"/>
      <c r="Y6" s="897"/>
      <c r="Z6" s="897"/>
      <c r="AA6" s="895"/>
      <c r="AB6" s="488"/>
    </row>
    <row r="7" spans="1:28" ht="25.5">
      <c r="A7" s="908"/>
      <c r="B7" s="909"/>
      <c r="C7" s="913"/>
      <c r="D7" s="487"/>
      <c r="E7" s="483" t="s">
        <v>530</v>
      </c>
      <c r="F7" s="456" t="s">
        <v>855</v>
      </c>
      <c r="G7" s="456" t="s">
        <v>856</v>
      </c>
      <c r="H7" s="486"/>
      <c r="I7" s="483" t="s">
        <v>530</v>
      </c>
      <c r="J7" s="456" t="s">
        <v>855</v>
      </c>
      <c r="K7" s="456" t="s">
        <v>856</v>
      </c>
      <c r="L7" s="485"/>
      <c r="M7" s="483" t="s">
        <v>530</v>
      </c>
      <c r="N7" s="456" t="s">
        <v>855</v>
      </c>
      <c r="O7" s="456" t="s">
        <v>854</v>
      </c>
      <c r="P7" s="456" t="s">
        <v>853</v>
      </c>
      <c r="Q7" s="456" t="s">
        <v>852</v>
      </c>
      <c r="R7" s="456" t="s">
        <v>851</v>
      </c>
      <c r="S7" s="456" t="s">
        <v>850</v>
      </c>
      <c r="T7" s="484"/>
      <c r="U7" s="483" t="s">
        <v>530</v>
      </c>
      <c r="V7" s="456" t="s">
        <v>855</v>
      </c>
      <c r="W7" s="456" t="s">
        <v>854</v>
      </c>
      <c r="X7" s="456" t="s">
        <v>853</v>
      </c>
      <c r="Y7" s="456" t="s">
        <v>852</v>
      </c>
      <c r="Z7" s="456" t="s">
        <v>851</v>
      </c>
      <c r="AA7" s="456" t="s">
        <v>850</v>
      </c>
      <c r="AB7" s="482"/>
    </row>
    <row r="8" spans="1:28">
      <c r="A8" s="481">
        <v>1</v>
      </c>
      <c r="B8" s="452" t="s">
        <v>531</v>
      </c>
      <c r="C8" s="776">
        <f>SUM(C9:C14)</f>
        <v>160269758.48178211</v>
      </c>
      <c r="D8" s="776">
        <f t="shared" ref="D8:U8" si="0">SUM(D9:D14)</f>
        <v>48659468.894767597</v>
      </c>
      <c r="E8" s="776">
        <f t="shared" si="0"/>
        <v>48659468.894767597</v>
      </c>
      <c r="F8" s="776">
        <f t="shared" si="0"/>
        <v>0</v>
      </c>
      <c r="G8" s="776">
        <f t="shared" si="0"/>
        <v>0</v>
      </c>
      <c r="H8" s="776">
        <f t="shared" si="0"/>
        <v>25260136.401041873</v>
      </c>
      <c r="I8" s="776">
        <f t="shared" si="0"/>
        <v>20468803.401041873</v>
      </c>
      <c r="J8" s="776">
        <f t="shared" si="0"/>
        <v>4791333</v>
      </c>
      <c r="K8" s="776">
        <f t="shared" si="0"/>
        <v>0</v>
      </c>
      <c r="L8" s="776">
        <f t="shared" si="0"/>
        <v>86350153.185972631</v>
      </c>
      <c r="M8" s="776">
        <f t="shared" si="0"/>
        <v>31113902.769720096</v>
      </c>
      <c r="N8" s="776">
        <f t="shared" si="0"/>
        <v>700124.67908599996</v>
      </c>
      <c r="O8" s="776">
        <f t="shared" si="0"/>
        <v>2629524.6648869994</v>
      </c>
      <c r="P8" s="776">
        <f t="shared" si="0"/>
        <v>7569644.6708814669</v>
      </c>
      <c r="Q8" s="776">
        <f t="shared" si="0"/>
        <v>7978833.326682047</v>
      </c>
      <c r="R8" s="776">
        <f t="shared" si="0"/>
        <v>36358123.074716009</v>
      </c>
      <c r="S8" s="776">
        <f t="shared" si="0"/>
        <v>0</v>
      </c>
      <c r="T8" s="776">
        <f t="shared" si="0"/>
        <v>0</v>
      </c>
      <c r="U8" s="776">
        <f t="shared" si="0"/>
        <v>0</v>
      </c>
      <c r="V8" s="448"/>
      <c r="W8" s="448"/>
      <c r="X8" s="448"/>
      <c r="Y8" s="448"/>
      <c r="Z8" s="448"/>
      <c r="AA8" s="448"/>
      <c r="AB8" s="478"/>
    </row>
    <row r="9" spans="1:28">
      <c r="A9" s="448">
        <v>1.1000000000000001</v>
      </c>
      <c r="B9" s="480" t="s">
        <v>532</v>
      </c>
      <c r="C9" s="777"/>
      <c r="D9" s="762">
        <f>SUM(E9:G9)</f>
        <v>0</v>
      </c>
      <c r="E9" s="762"/>
      <c r="F9" s="762"/>
      <c r="G9" s="762"/>
      <c r="H9" s="762">
        <f>SUM(I9:K9)</f>
        <v>0</v>
      </c>
      <c r="I9" s="762"/>
      <c r="J9" s="762"/>
      <c r="K9" s="762"/>
      <c r="L9" s="762">
        <f>SUM(M9:S9)</f>
        <v>0</v>
      </c>
      <c r="M9" s="762"/>
      <c r="N9" s="762"/>
      <c r="O9" s="762"/>
      <c r="P9" s="762"/>
      <c r="Q9" s="762"/>
      <c r="R9" s="762"/>
      <c r="S9" s="448"/>
      <c r="T9" s="448"/>
      <c r="U9" s="448"/>
      <c r="V9" s="448"/>
      <c r="W9" s="448"/>
      <c r="X9" s="448"/>
      <c r="Y9" s="448"/>
      <c r="Z9" s="448"/>
      <c r="AA9" s="448"/>
      <c r="AB9" s="478"/>
    </row>
    <row r="10" spans="1:28">
      <c r="A10" s="448">
        <v>1.2</v>
      </c>
      <c r="B10" s="480" t="s">
        <v>533</v>
      </c>
      <c r="C10" s="777"/>
      <c r="D10" s="762">
        <f t="shared" ref="D10:D14" si="1">SUM(E10:G10)</f>
        <v>0</v>
      </c>
      <c r="E10" s="762"/>
      <c r="F10" s="762"/>
      <c r="G10" s="762"/>
      <c r="H10" s="762">
        <f t="shared" ref="H10:H14" si="2">SUM(I10:K10)</f>
        <v>0</v>
      </c>
      <c r="I10" s="762"/>
      <c r="J10" s="762"/>
      <c r="K10" s="762"/>
      <c r="L10" s="762">
        <f t="shared" ref="L10:L14" si="3">SUM(M10:S10)</f>
        <v>0</v>
      </c>
      <c r="M10" s="762"/>
      <c r="N10" s="762"/>
      <c r="O10" s="762"/>
      <c r="P10" s="762"/>
      <c r="Q10" s="762"/>
      <c r="R10" s="762"/>
      <c r="S10" s="448"/>
      <c r="T10" s="448"/>
      <c r="U10" s="448"/>
      <c r="V10" s="448"/>
      <c r="W10" s="448"/>
      <c r="X10" s="448"/>
      <c r="Y10" s="448"/>
      <c r="Z10" s="448"/>
      <c r="AA10" s="448"/>
      <c r="AB10" s="478"/>
    </row>
    <row r="11" spans="1:28">
      <c r="A11" s="448">
        <v>1.3</v>
      </c>
      <c r="B11" s="480" t="s">
        <v>534</v>
      </c>
      <c r="C11" s="777"/>
      <c r="D11" s="762">
        <f t="shared" si="1"/>
        <v>0</v>
      </c>
      <c r="E11" s="762"/>
      <c r="F11" s="762"/>
      <c r="G11" s="762"/>
      <c r="H11" s="762">
        <f t="shared" si="2"/>
        <v>0</v>
      </c>
      <c r="I11" s="762"/>
      <c r="J11" s="762"/>
      <c r="K11" s="762"/>
      <c r="L11" s="762">
        <f t="shared" si="3"/>
        <v>0</v>
      </c>
      <c r="M11" s="762"/>
      <c r="N11" s="762"/>
      <c r="O11" s="762"/>
      <c r="P11" s="762"/>
      <c r="Q11" s="762"/>
      <c r="R11" s="762"/>
      <c r="S11" s="448"/>
      <c r="T11" s="448"/>
      <c r="U11" s="448"/>
      <c r="V11" s="448"/>
      <c r="W11" s="448"/>
      <c r="X11" s="448"/>
      <c r="Y11" s="448"/>
      <c r="Z11" s="448"/>
      <c r="AA11" s="448"/>
      <c r="AB11" s="478"/>
    </row>
    <row r="12" spans="1:28">
      <c r="A12" s="448">
        <v>1.4</v>
      </c>
      <c r="B12" s="480" t="s">
        <v>535</v>
      </c>
      <c r="C12" s="777">
        <f>SUM(D12,H12,L12,)</f>
        <v>358815.74</v>
      </c>
      <c r="D12" s="762">
        <f t="shared" si="1"/>
        <v>358815.74</v>
      </c>
      <c r="E12" s="762">
        <v>358815.74</v>
      </c>
      <c r="F12" s="762">
        <v>0</v>
      </c>
      <c r="G12" s="762">
        <v>0</v>
      </c>
      <c r="H12" s="762">
        <f t="shared" si="2"/>
        <v>0</v>
      </c>
      <c r="I12" s="762">
        <v>0</v>
      </c>
      <c r="J12" s="762">
        <v>0</v>
      </c>
      <c r="K12" s="762">
        <v>0</v>
      </c>
      <c r="L12" s="762">
        <f t="shared" si="3"/>
        <v>0</v>
      </c>
      <c r="M12" s="762">
        <v>0</v>
      </c>
      <c r="N12" s="762">
        <v>0</v>
      </c>
      <c r="O12" s="762">
        <v>0</v>
      </c>
      <c r="P12" s="762">
        <v>0</v>
      </c>
      <c r="Q12" s="762">
        <v>0</v>
      </c>
      <c r="R12" s="762">
        <v>0</v>
      </c>
      <c r="S12" s="448">
        <v>0</v>
      </c>
      <c r="T12" s="448"/>
      <c r="U12" s="448"/>
      <c r="V12" s="448"/>
      <c r="W12" s="448"/>
      <c r="X12" s="448"/>
      <c r="Y12" s="448"/>
      <c r="Z12" s="448"/>
      <c r="AA12" s="448"/>
      <c r="AB12" s="478"/>
    </row>
    <row r="13" spans="1:28">
      <c r="A13" s="448">
        <v>1.5</v>
      </c>
      <c r="B13" s="480" t="s">
        <v>536</v>
      </c>
      <c r="C13" s="777">
        <f>SUM(D13,H13,L13,)</f>
        <v>152919260.77481249</v>
      </c>
      <c r="D13" s="762">
        <f t="shared" si="1"/>
        <v>42104107.308497995</v>
      </c>
      <c r="E13" s="762">
        <v>42104107.308497995</v>
      </c>
      <c r="F13" s="762">
        <v>0</v>
      </c>
      <c r="G13" s="762">
        <v>0</v>
      </c>
      <c r="H13" s="762">
        <f t="shared" si="2"/>
        <v>25260136.401041873</v>
      </c>
      <c r="I13" s="762">
        <v>20468803.401041873</v>
      </c>
      <c r="J13" s="448">
        <v>4791333</v>
      </c>
      <c r="K13" s="448">
        <v>0</v>
      </c>
      <c r="L13" s="762">
        <f t="shared" si="3"/>
        <v>85555017.065272629</v>
      </c>
      <c r="M13" s="762">
        <v>30822873.912980095</v>
      </c>
      <c r="N13" s="762">
        <v>679973.64867599995</v>
      </c>
      <c r="O13" s="762">
        <v>2612019.4909869996</v>
      </c>
      <c r="P13" s="762">
        <v>7269565.8303414667</v>
      </c>
      <c r="Q13" s="762">
        <v>7940488.1875720471</v>
      </c>
      <c r="R13" s="762">
        <v>36230095.994716011</v>
      </c>
      <c r="S13" s="448">
        <v>0</v>
      </c>
      <c r="T13" s="448"/>
      <c r="U13" s="448"/>
      <c r="V13" s="448"/>
      <c r="W13" s="448"/>
      <c r="X13" s="448"/>
      <c r="Y13" s="448"/>
      <c r="Z13" s="448"/>
      <c r="AA13" s="448"/>
      <c r="AB13" s="478"/>
    </row>
    <row r="14" spans="1:28">
      <c r="A14" s="448">
        <v>1.6</v>
      </c>
      <c r="B14" s="480" t="s">
        <v>537</v>
      </c>
      <c r="C14" s="777">
        <f>SUM(D14,H14,L14,)</f>
        <v>6991681.9669695999</v>
      </c>
      <c r="D14" s="762">
        <f t="shared" si="1"/>
        <v>6196545.8462696001</v>
      </c>
      <c r="E14" s="762">
        <v>6196545.8462696001</v>
      </c>
      <c r="F14" s="762">
        <v>0</v>
      </c>
      <c r="G14" s="762">
        <v>0</v>
      </c>
      <c r="H14" s="762">
        <f t="shared" si="2"/>
        <v>0</v>
      </c>
      <c r="I14" s="762">
        <v>0</v>
      </c>
      <c r="J14" s="762">
        <v>0</v>
      </c>
      <c r="K14" s="762">
        <v>0</v>
      </c>
      <c r="L14" s="762">
        <f t="shared" si="3"/>
        <v>795136.12069999985</v>
      </c>
      <c r="M14" s="762">
        <v>291028.85674000002</v>
      </c>
      <c r="N14" s="762">
        <v>20151.030409999999</v>
      </c>
      <c r="O14" s="762">
        <v>17505.173900000002</v>
      </c>
      <c r="P14" s="762">
        <v>300078.84053999995</v>
      </c>
      <c r="Q14" s="762">
        <v>38345.139110000004</v>
      </c>
      <c r="R14" s="762">
        <v>128027.08</v>
      </c>
      <c r="S14" s="448">
        <v>0</v>
      </c>
      <c r="T14" s="448"/>
      <c r="U14" s="448"/>
      <c r="V14" s="448"/>
      <c r="W14" s="448"/>
      <c r="X14" s="448"/>
      <c r="Y14" s="448"/>
      <c r="Z14" s="448"/>
      <c r="AA14" s="448"/>
      <c r="AB14" s="478"/>
    </row>
    <row r="15" spans="1:28">
      <c r="A15" s="481">
        <v>2</v>
      </c>
      <c r="B15" s="462" t="s">
        <v>538</v>
      </c>
      <c r="C15" s="776">
        <f>SUM(C16:C21)</f>
        <v>0</v>
      </c>
      <c r="D15" s="776">
        <f>SUM(D16:D21)</f>
        <v>0</v>
      </c>
      <c r="E15" s="776">
        <f t="shared" ref="E15:H15" si="4">SUM(E16:E21)</f>
        <v>0</v>
      </c>
      <c r="F15" s="776">
        <f t="shared" si="4"/>
        <v>0</v>
      </c>
      <c r="G15" s="776">
        <f t="shared" si="4"/>
        <v>0</v>
      </c>
      <c r="H15" s="776">
        <f t="shared" si="4"/>
        <v>0</v>
      </c>
      <c r="I15" s="776">
        <f t="shared" ref="I15:U15" si="5">SUM(I16:I21)</f>
        <v>0</v>
      </c>
      <c r="J15" s="776">
        <f t="shared" si="5"/>
        <v>0</v>
      </c>
      <c r="K15" s="776">
        <f t="shared" si="5"/>
        <v>0</v>
      </c>
      <c r="L15" s="776">
        <f t="shared" si="5"/>
        <v>0</v>
      </c>
      <c r="M15" s="776">
        <f t="shared" si="5"/>
        <v>0</v>
      </c>
      <c r="N15" s="776">
        <f t="shared" si="5"/>
        <v>0</v>
      </c>
      <c r="O15" s="776">
        <f t="shared" si="5"/>
        <v>0</v>
      </c>
      <c r="P15" s="776">
        <f t="shared" si="5"/>
        <v>0</v>
      </c>
      <c r="Q15" s="776">
        <f t="shared" si="5"/>
        <v>0</v>
      </c>
      <c r="R15" s="776">
        <f t="shared" si="5"/>
        <v>0</v>
      </c>
      <c r="S15" s="776">
        <f t="shared" si="5"/>
        <v>0</v>
      </c>
      <c r="T15" s="776">
        <f t="shared" si="5"/>
        <v>0</v>
      </c>
      <c r="U15" s="776">
        <f t="shared" si="5"/>
        <v>0</v>
      </c>
      <c r="V15" s="448"/>
      <c r="W15" s="448"/>
      <c r="X15" s="448"/>
      <c r="Y15" s="448"/>
      <c r="Z15" s="448"/>
      <c r="AA15" s="448"/>
      <c r="AB15" s="478"/>
    </row>
    <row r="16" spans="1:28">
      <c r="A16" s="448">
        <v>2.1</v>
      </c>
      <c r="B16" s="480" t="s">
        <v>532</v>
      </c>
      <c r="C16" s="480"/>
      <c r="D16" s="448"/>
      <c r="E16" s="448"/>
      <c r="F16" s="448"/>
      <c r="G16" s="448"/>
      <c r="H16" s="448"/>
      <c r="I16" s="448"/>
      <c r="J16" s="448"/>
      <c r="K16" s="448"/>
      <c r="L16" s="448"/>
      <c r="M16" s="448"/>
      <c r="N16" s="448"/>
      <c r="O16" s="448"/>
      <c r="P16" s="448"/>
      <c r="Q16" s="448"/>
      <c r="R16" s="448"/>
      <c r="S16" s="448"/>
      <c r="T16" s="448"/>
      <c r="U16" s="448"/>
      <c r="V16" s="448"/>
      <c r="W16" s="448"/>
      <c r="X16" s="448"/>
      <c r="Y16" s="448"/>
      <c r="Z16" s="448"/>
      <c r="AA16" s="448"/>
      <c r="AB16" s="478"/>
    </row>
    <row r="17" spans="1:28">
      <c r="A17" s="448">
        <v>2.2000000000000002</v>
      </c>
      <c r="B17" s="480" t="s">
        <v>533</v>
      </c>
      <c r="C17" s="480"/>
      <c r="D17" s="448"/>
      <c r="E17" s="448"/>
      <c r="F17" s="448"/>
      <c r="G17" s="448"/>
      <c r="H17" s="448"/>
      <c r="I17" s="448"/>
      <c r="J17" s="448"/>
      <c r="K17" s="448"/>
      <c r="L17" s="448"/>
      <c r="M17" s="448"/>
      <c r="N17" s="448"/>
      <c r="O17" s="448"/>
      <c r="P17" s="448"/>
      <c r="Q17" s="448"/>
      <c r="R17" s="448"/>
      <c r="S17" s="448"/>
      <c r="T17" s="448"/>
      <c r="U17" s="448"/>
      <c r="V17" s="448"/>
      <c r="W17" s="448"/>
      <c r="X17" s="448"/>
      <c r="Y17" s="448"/>
      <c r="Z17" s="448"/>
      <c r="AA17" s="448"/>
      <c r="AB17" s="478"/>
    </row>
    <row r="18" spans="1:28">
      <c r="A18" s="448">
        <v>2.2999999999999998</v>
      </c>
      <c r="B18" s="480" t="s">
        <v>534</v>
      </c>
      <c r="C18" s="480"/>
      <c r="D18" s="448"/>
      <c r="E18" s="448"/>
      <c r="F18" s="448"/>
      <c r="G18" s="448"/>
      <c r="H18" s="448"/>
      <c r="I18" s="448"/>
      <c r="J18" s="448"/>
      <c r="K18" s="448"/>
      <c r="L18" s="448"/>
      <c r="M18" s="448"/>
      <c r="N18" s="448"/>
      <c r="O18" s="448"/>
      <c r="P18" s="448"/>
      <c r="Q18" s="448"/>
      <c r="R18" s="448"/>
      <c r="S18" s="448"/>
      <c r="T18" s="448"/>
      <c r="U18" s="448"/>
      <c r="V18" s="448"/>
      <c r="W18" s="448"/>
      <c r="X18" s="448"/>
      <c r="Y18" s="448"/>
      <c r="Z18" s="448"/>
      <c r="AA18" s="448"/>
      <c r="AB18" s="478"/>
    </row>
    <row r="19" spans="1:28">
      <c r="A19" s="448">
        <v>2.4</v>
      </c>
      <c r="B19" s="480" t="s">
        <v>535</v>
      </c>
      <c r="C19" s="480"/>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78"/>
    </row>
    <row r="20" spans="1:28">
      <c r="A20" s="448">
        <v>2.5</v>
      </c>
      <c r="B20" s="480" t="s">
        <v>536</v>
      </c>
      <c r="C20" s="480"/>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78"/>
    </row>
    <row r="21" spans="1:28">
      <c r="A21" s="448">
        <v>2.6</v>
      </c>
      <c r="B21" s="480" t="s">
        <v>537</v>
      </c>
      <c r="C21" s="480"/>
      <c r="D21" s="448"/>
      <c r="E21" s="448"/>
      <c r="F21" s="448"/>
      <c r="G21" s="448"/>
      <c r="H21" s="448"/>
      <c r="I21" s="448"/>
      <c r="J21" s="448"/>
      <c r="K21" s="448"/>
      <c r="L21" s="448"/>
      <c r="M21" s="448"/>
      <c r="N21" s="448"/>
      <c r="O21" s="448"/>
      <c r="P21" s="448"/>
      <c r="Q21" s="448"/>
      <c r="R21" s="448"/>
      <c r="S21" s="448"/>
      <c r="T21" s="448"/>
      <c r="U21" s="448"/>
      <c r="V21" s="448"/>
      <c r="W21" s="448"/>
      <c r="X21" s="448"/>
      <c r="Y21" s="448"/>
      <c r="Z21" s="448"/>
      <c r="AA21" s="448"/>
      <c r="AB21" s="478"/>
    </row>
    <row r="22" spans="1:28">
      <c r="A22" s="481">
        <v>3</v>
      </c>
      <c r="B22" s="452" t="s">
        <v>539</v>
      </c>
      <c r="C22" s="776">
        <f>SUM(C23:C28)</f>
        <v>200000</v>
      </c>
      <c r="D22" s="776">
        <f>SUM(D23:D28)</f>
        <v>200000</v>
      </c>
      <c r="E22" s="776">
        <f t="shared" ref="E22:U22" si="6">SUM(E23:E28)</f>
        <v>0</v>
      </c>
      <c r="F22" s="778">
        <f t="shared" si="6"/>
        <v>0</v>
      </c>
      <c r="G22" s="776">
        <f t="shared" si="6"/>
        <v>0</v>
      </c>
      <c r="H22" s="778">
        <f t="shared" si="6"/>
        <v>0</v>
      </c>
      <c r="I22" s="778">
        <f t="shared" si="6"/>
        <v>0</v>
      </c>
      <c r="J22" s="778">
        <f t="shared" si="6"/>
        <v>0</v>
      </c>
      <c r="K22" s="778">
        <f t="shared" si="6"/>
        <v>0</v>
      </c>
      <c r="L22" s="776">
        <f t="shared" si="6"/>
        <v>0</v>
      </c>
      <c r="M22" s="778">
        <f t="shared" si="6"/>
        <v>0</v>
      </c>
      <c r="N22" s="778">
        <f t="shared" si="6"/>
        <v>0</v>
      </c>
      <c r="O22" s="778">
        <f t="shared" si="6"/>
        <v>0</v>
      </c>
      <c r="P22" s="778">
        <f t="shared" si="6"/>
        <v>0</v>
      </c>
      <c r="Q22" s="778">
        <f t="shared" si="6"/>
        <v>0</v>
      </c>
      <c r="R22" s="778">
        <f t="shared" si="6"/>
        <v>0</v>
      </c>
      <c r="S22" s="778">
        <f t="shared" si="6"/>
        <v>0</v>
      </c>
      <c r="T22" s="778">
        <f t="shared" si="6"/>
        <v>0</v>
      </c>
      <c r="U22" s="776">
        <f t="shared" si="6"/>
        <v>0</v>
      </c>
      <c r="V22" s="479"/>
      <c r="W22" s="479"/>
      <c r="X22" s="479"/>
      <c r="Y22" s="479"/>
      <c r="Z22" s="479"/>
      <c r="AA22" s="479"/>
      <c r="AB22" s="478"/>
    </row>
    <row r="23" spans="1:28">
      <c r="A23" s="448">
        <v>3.1</v>
      </c>
      <c r="B23" s="480" t="s">
        <v>532</v>
      </c>
      <c r="C23" s="779"/>
      <c r="D23" s="769"/>
      <c r="E23" s="780"/>
      <c r="F23" s="780"/>
      <c r="G23" s="780"/>
      <c r="H23" s="769"/>
      <c r="I23" s="780"/>
      <c r="J23" s="780"/>
      <c r="K23" s="780"/>
      <c r="L23" s="769"/>
      <c r="M23" s="780"/>
      <c r="N23" s="780"/>
      <c r="O23" s="780"/>
      <c r="P23" s="780"/>
      <c r="Q23" s="780"/>
      <c r="R23" s="780"/>
      <c r="S23" s="479"/>
      <c r="T23" s="452"/>
      <c r="U23" s="479"/>
      <c r="V23" s="479"/>
      <c r="W23" s="479"/>
      <c r="X23" s="479"/>
      <c r="Y23" s="479"/>
      <c r="Z23" s="479"/>
      <c r="AA23" s="479"/>
      <c r="AB23" s="478"/>
    </row>
    <row r="24" spans="1:28">
      <c r="A24" s="448">
        <v>3.2</v>
      </c>
      <c r="B24" s="480" t="s">
        <v>533</v>
      </c>
      <c r="C24" s="779"/>
      <c r="D24" s="769"/>
      <c r="E24" s="780"/>
      <c r="F24" s="780"/>
      <c r="G24" s="780"/>
      <c r="H24" s="769"/>
      <c r="I24" s="780"/>
      <c r="J24" s="780"/>
      <c r="K24" s="780"/>
      <c r="L24" s="769"/>
      <c r="M24" s="780"/>
      <c r="N24" s="780"/>
      <c r="O24" s="780"/>
      <c r="P24" s="780"/>
      <c r="Q24" s="780"/>
      <c r="R24" s="780"/>
      <c r="S24" s="479"/>
      <c r="T24" s="452"/>
      <c r="U24" s="479"/>
      <c r="V24" s="479"/>
      <c r="W24" s="479"/>
      <c r="X24" s="479"/>
      <c r="Y24" s="479"/>
      <c r="Z24" s="479"/>
      <c r="AA24" s="479"/>
      <c r="AB24" s="478"/>
    </row>
    <row r="25" spans="1:28">
      <c r="A25" s="448">
        <v>3.3</v>
      </c>
      <c r="B25" s="480" t="s">
        <v>534</v>
      </c>
      <c r="C25" s="779"/>
      <c r="D25" s="769"/>
      <c r="E25" s="780"/>
      <c r="F25" s="780"/>
      <c r="G25" s="780"/>
      <c r="H25" s="769"/>
      <c r="I25" s="780"/>
      <c r="J25" s="780"/>
      <c r="K25" s="780"/>
      <c r="L25" s="769"/>
      <c r="M25" s="780"/>
      <c r="N25" s="780"/>
      <c r="O25" s="780"/>
      <c r="P25" s="780"/>
      <c r="Q25" s="780"/>
      <c r="R25" s="780"/>
      <c r="S25" s="479"/>
      <c r="T25" s="452"/>
      <c r="U25" s="479"/>
      <c r="V25" s="479"/>
      <c r="W25" s="479"/>
      <c r="X25" s="479"/>
      <c r="Y25" s="479"/>
      <c r="Z25" s="479"/>
      <c r="AA25" s="479"/>
      <c r="AB25" s="478"/>
    </row>
    <row r="26" spans="1:28">
      <c r="A26" s="448">
        <v>3.4</v>
      </c>
      <c r="B26" s="480" t="s">
        <v>535</v>
      </c>
      <c r="C26" s="777">
        <f>SUM(D26,H26,L26,)</f>
        <v>0</v>
      </c>
      <c r="D26" s="769">
        <v>0</v>
      </c>
      <c r="E26" s="780"/>
      <c r="F26" s="780"/>
      <c r="G26" s="780"/>
      <c r="H26" s="769">
        <v>0</v>
      </c>
      <c r="I26" s="780"/>
      <c r="J26" s="780"/>
      <c r="K26" s="780"/>
      <c r="L26" s="769">
        <v>0</v>
      </c>
      <c r="M26" s="780"/>
      <c r="N26" s="780"/>
      <c r="O26" s="780"/>
      <c r="P26" s="780"/>
      <c r="Q26" s="780"/>
      <c r="R26" s="780"/>
      <c r="S26" s="479"/>
      <c r="T26" s="452"/>
      <c r="U26" s="479"/>
      <c r="V26" s="479"/>
      <c r="W26" s="479"/>
      <c r="X26" s="479"/>
      <c r="Y26" s="479"/>
      <c r="Z26" s="479"/>
      <c r="AA26" s="479"/>
      <c r="AB26" s="478"/>
    </row>
    <row r="27" spans="1:28">
      <c r="A27" s="448">
        <v>3.5</v>
      </c>
      <c r="B27" s="480" t="s">
        <v>536</v>
      </c>
      <c r="C27" s="777">
        <f>SUM(D27,H27,L27,)</f>
        <v>200000</v>
      </c>
      <c r="D27" s="768">
        <v>200000</v>
      </c>
      <c r="E27" s="780"/>
      <c r="F27" s="780"/>
      <c r="G27" s="780"/>
      <c r="H27" s="769">
        <v>0</v>
      </c>
      <c r="I27" s="780"/>
      <c r="J27" s="780"/>
      <c r="K27" s="780"/>
      <c r="L27" s="769">
        <v>0</v>
      </c>
      <c r="M27" s="780"/>
      <c r="N27" s="780"/>
      <c r="O27" s="780"/>
      <c r="P27" s="780"/>
      <c r="Q27" s="780"/>
      <c r="R27" s="780"/>
      <c r="S27" s="479"/>
      <c r="T27" s="452"/>
      <c r="U27" s="479"/>
      <c r="V27" s="479"/>
      <c r="W27" s="479"/>
      <c r="X27" s="479"/>
      <c r="Y27" s="479"/>
      <c r="Z27" s="479"/>
      <c r="AA27" s="479"/>
      <c r="AB27" s="478"/>
    </row>
    <row r="28" spans="1:28">
      <c r="A28" s="448">
        <v>3.6</v>
      </c>
      <c r="B28" s="480" t="s">
        <v>537</v>
      </c>
      <c r="C28" s="480"/>
      <c r="D28" s="452"/>
      <c r="E28" s="479"/>
      <c r="F28" s="479"/>
      <c r="G28" s="479"/>
      <c r="H28" s="452"/>
      <c r="I28" s="479"/>
      <c r="J28" s="479"/>
      <c r="K28" s="479"/>
      <c r="L28" s="452"/>
      <c r="M28" s="479"/>
      <c r="N28" s="479"/>
      <c r="O28" s="479"/>
      <c r="P28" s="479"/>
      <c r="Q28" s="479"/>
      <c r="R28" s="479"/>
      <c r="S28" s="479"/>
      <c r="T28" s="452"/>
      <c r="U28" s="479"/>
      <c r="V28" s="479"/>
      <c r="W28" s="479"/>
      <c r="X28" s="479"/>
      <c r="Y28" s="479"/>
      <c r="Z28" s="479"/>
      <c r="AA28" s="479"/>
      <c r="AB28" s="478"/>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38"/>
  <sheetViews>
    <sheetView showGridLines="0" topLeftCell="A5" zoomScale="70" zoomScaleNormal="70" workbookViewId="0">
      <selection activeCell="C8" sqref="C8:S22"/>
    </sheetView>
  </sheetViews>
  <sheetFormatPr defaultColWidth="9.28515625" defaultRowHeight="12.75"/>
  <cols>
    <col min="1" max="1" width="11.7109375" style="459" bestFit="1" customWidth="1"/>
    <col min="2" max="2" width="90.28515625" style="459" bestFit="1" customWidth="1"/>
    <col min="3" max="3" width="20.28515625" style="459" customWidth="1"/>
    <col min="4" max="4" width="22.28515625" style="459" customWidth="1"/>
    <col min="5" max="7" width="17.140625" style="459" customWidth="1"/>
    <col min="8" max="8" width="22.28515625" style="459" customWidth="1"/>
    <col min="9" max="10" width="17.140625" style="459" customWidth="1"/>
    <col min="11" max="27" width="22.28515625" style="459" customWidth="1"/>
    <col min="28" max="16384" width="9.28515625" style="459"/>
  </cols>
  <sheetData>
    <row r="1" spans="1:27" ht="13.5">
      <c r="A1" s="339" t="s">
        <v>97</v>
      </c>
      <c r="B1" s="267" t="str">
        <f>Info!C2</f>
        <v>სს "ვითიბი ბანკი ჯორჯია"</v>
      </c>
    </row>
    <row r="2" spans="1:27">
      <c r="A2" s="341" t="s">
        <v>98</v>
      </c>
      <c r="B2" s="343">
        <f>'1. key ratios'!B2</f>
        <v>45930</v>
      </c>
    </row>
    <row r="3" spans="1:27">
      <c r="A3" s="342" t="s">
        <v>540</v>
      </c>
      <c r="C3" s="461"/>
    </row>
    <row r="4" spans="1:27" ht="13.5" thickBot="1">
      <c r="A4" s="342"/>
      <c r="B4" s="461"/>
      <c r="C4" s="461"/>
    </row>
    <row r="5" spans="1:27" s="493" customFormat="1" ht="13.5" customHeight="1">
      <c r="A5" s="923" t="s">
        <v>869</v>
      </c>
      <c r="B5" s="924"/>
      <c r="C5" s="920" t="s">
        <v>541</v>
      </c>
      <c r="D5" s="921"/>
      <c r="E5" s="921"/>
      <c r="F5" s="921"/>
      <c r="G5" s="921"/>
      <c r="H5" s="921"/>
      <c r="I5" s="921"/>
      <c r="J5" s="921"/>
      <c r="K5" s="921"/>
      <c r="L5" s="921"/>
      <c r="M5" s="921"/>
      <c r="N5" s="921"/>
      <c r="O5" s="921"/>
      <c r="P5" s="921"/>
      <c r="Q5" s="921"/>
      <c r="R5" s="921"/>
      <c r="S5" s="921"/>
      <c r="T5" s="921"/>
      <c r="U5" s="921"/>
      <c r="V5" s="921"/>
      <c r="W5" s="921"/>
      <c r="X5" s="921"/>
      <c r="Y5" s="921"/>
      <c r="Z5" s="921"/>
      <c r="AA5" s="922"/>
    </row>
    <row r="6" spans="1:27" s="493" customFormat="1" ht="12" customHeight="1">
      <c r="A6" s="925"/>
      <c r="B6" s="926"/>
      <c r="C6" s="930" t="s">
        <v>66</v>
      </c>
      <c r="D6" s="929" t="s">
        <v>860</v>
      </c>
      <c r="E6" s="929"/>
      <c r="F6" s="929"/>
      <c r="G6" s="929"/>
      <c r="H6" s="915" t="s">
        <v>859</v>
      </c>
      <c r="I6" s="916"/>
      <c r="J6" s="916"/>
      <c r="K6" s="916"/>
      <c r="L6" s="489"/>
      <c r="M6" s="897" t="s">
        <v>858</v>
      </c>
      <c r="N6" s="897"/>
      <c r="O6" s="897"/>
      <c r="P6" s="897"/>
      <c r="Q6" s="897"/>
      <c r="R6" s="897"/>
      <c r="S6" s="895"/>
      <c r="T6" s="489"/>
      <c r="U6" s="897" t="s">
        <v>857</v>
      </c>
      <c r="V6" s="897"/>
      <c r="W6" s="897"/>
      <c r="X6" s="897"/>
      <c r="Y6" s="897"/>
      <c r="Z6" s="897"/>
      <c r="AA6" s="919"/>
    </row>
    <row r="7" spans="1:27" s="493" customFormat="1" ht="38.25">
      <c r="A7" s="927"/>
      <c r="B7" s="928"/>
      <c r="C7" s="931"/>
      <c r="D7" s="487"/>
      <c r="E7" s="483" t="s">
        <v>530</v>
      </c>
      <c r="F7" s="456" t="s">
        <v>855</v>
      </c>
      <c r="G7" s="456" t="s">
        <v>856</v>
      </c>
      <c r="H7" s="520"/>
      <c r="I7" s="483" t="s">
        <v>530</v>
      </c>
      <c r="J7" s="456" t="s">
        <v>855</v>
      </c>
      <c r="K7" s="456" t="s">
        <v>856</v>
      </c>
      <c r="L7" s="484"/>
      <c r="M7" s="483" t="s">
        <v>530</v>
      </c>
      <c r="N7" s="456" t="s">
        <v>868</v>
      </c>
      <c r="O7" s="456" t="s">
        <v>867</v>
      </c>
      <c r="P7" s="456" t="s">
        <v>866</v>
      </c>
      <c r="Q7" s="456" t="s">
        <v>865</v>
      </c>
      <c r="R7" s="456" t="s">
        <v>864</v>
      </c>
      <c r="S7" s="456" t="s">
        <v>850</v>
      </c>
      <c r="T7" s="484"/>
      <c r="U7" s="483" t="s">
        <v>530</v>
      </c>
      <c r="V7" s="456" t="s">
        <v>868</v>
      </c>
      <c r="W7" s="456" t="s">
        <v>867</v>
      </c>
      <c r="X7" s="456" t="s">
        <v>866</v>
      </c>
      <c r="Y7" s="456" t="s">
        <v>865</v>
      </c>
      <c r="Z7" s="456" t="s">
        <v>864</v>
      </c>
      <c r="AA7" s="456" t="s">
        <v>850</v>
      </c>
    </row>
    <row r="8" spans="1:27">
      <c r="A8" s="519">
        <v>1</v>
      </c>
      <c r="B8" s="518" t="s">
        <v>531</v>
      </c>
      <c r="C8" s="781">
        <f t="shared" ref="C8:C15" si="0">SUM(E8:F8,I8:J8,M8:S8)</f>
        <v>160269758.76178208</v>
      </c>
      <c r="D8" s="762">
        <v>48659468.89476759</v>
      </c>
      <c r="E8" s="762">
        <v>48659468.894767597</v>
      </c>
      <c r="F8" s="762">
        <v>0</v>
      </c>
      <c r="G8" s="762">
        <v>0</v>
      </c>
      <c r="H8" s="762">
        <f>SUM(I8:K8)</f>
        <v>25260136.681041874</v>
      </c>
      <c r="I8" s="762">
        <v>20468803.401041873</v>
      </c>
      <c r="J8" s="762">
        <v>4791333.28</v>
      </c>
      <c r="K8" s="762">
        <v>0</v>
      </c>
      <c r="L8" s="762">
        <f>SUM(M8:S8)</f>
        <v>86350153.185972616</v>
      </c>
      <c r="M8" s="762">
        <v>31113902.769720096</v>
      </c>
      <c r="N8" s="762">
        <v>700124.67908599996</v>
      </c>
      <c r="O8" s="762">
        <v>2629524.6648869994</v>
      </c>
      <c r="P8" s="762">
        <v>7569644.670881466</v>
      </c>
      <c r="Q8" s="762">
        <v>7978833.3266820461</v>
      </c>
      <c r="R8" s="762">
        <v>36358123.074716009</v>
      </c>
      <c r="S8" s="448">
        <v>0</v>
      </c>
      <c r="T8" s="448"/>
      <c r="U8" s="448"/>
      <c r="V8" s="448"/>
      <c r="W8" s="448"/>
      <c r="X8" s="448"/>
      <c r="Y8" s="448"/>
      <c r="Z8" s="448"/>
      <c r="AA8" s="510"/>
    </row>
    <row r="9" spans="1:27">
      <c r="A9" s="516">
        <v>1.1000000000000001</v>
      </c>
      <c r="B9" s="517" t="s">
        <v>542</v>
      </c>
      <c r="C9" s="782">
        <f t="shared" si="0"/>
        <v>157540911.95424205</v>
      </c>
      <c r="D9" s="762">
        <v>46655243.316827595</v>
      </c>
      <c r="E9" s="762">
        <v>46655243.316827595</v>
      </c>
      <c r="F9" s="762">
        <v>0</v>
      </c>
      <c r="G9" s="762">
        <v>0</v>
      </c>
      <c r="H9" s="762">
        <f t="shared" ref="H9:H22" si="1">SUM(I9:K9)</f>
        <v>25260136.681041874</v>
      </c>
      <c r="I9" s="762">
        <v>20468803.401041873</v>
      </c>
      <c r="J9" s="762">
        <v>4791333.28</v>
      </c>
      <c r="K9" s="762">
        <v>0</v>
      </c>
      <c r="L9" s="762">
        <f t="shared" ref="L9:L22" si="2">SUM(M9:S9)</f>
        <v>85625531.956372619</v>
      </c>
      <c r="M9" s="762">
        <v>31102543.882080097</v>
      </c>
      <c r="N9" s="762">
        <v>679973.64867599995</v>
      </c>
      <c r="O9" s="762">
        <v>2612019.4909869996</v>
      </c>
      <c r="P9" s="762">
        <v>7534318.2223414667</v>
      </c>
      <c r="Q9" s="762">
        <v>7940488.1875720471</v>
      </c>
      <c r="R9" s="762">
        <v>35756188.524716005</v>
      </c>
      <c r="S9" s="448">
        <v>0</v>
      </c>
      <c r="T9" s="448"/>
      <c r="U9" s="448"/>
      <c r="V9" s="448"/>
      <c r="W9" s="448"/>
      <c r="X9" s="448"/>
      <c r="Y9" s="448"/>
      <c r="Z9" s="448"/>
      <c r="AA9" s="510"/>
    </row>
    <row r="10" spans="1:27">
      <c r="A10" s="514" t="s">
        <v>146</v>
      </c>
      <c r="B10" s="515" t="s">
        <v>543</v>
      </c>
      <c r="C10" s="782">
        <f t="shared" si="0"/>
        <v>153160177.68328941</v>
      </c>
      <c r="D10" s="762">
        <v>46567648.553223595</v>
      </c>
      <c r="E10" s="762">
        <v>46567648.553223595</v>
      </c>
      <c r="F10" s="762">
        <v>0</v>
      </c>
      <c r="G10" s="762">
        <v>0</v>
      </c>
      <c r="H10" s="762">
        <f t="shared" si="1"/>
        <v>25260136.681041874</v>
      </c>
      <c r="I10" s="762">
        <v>20468803.401041873</v>
      </c>
      <c r="J10" s="762">
        <v>4791333.28</v>
      </c>
      <c r="K10" s="762">
        <v>0</v>
      </c>
      <c r="L10" s="762">
        <f t="shared" si="2"/>
        <v>81332392.449023932</v>
      </c>
      <c r="M10" s="762">
        <v>26846856.444731425</v>
      </c>
      <c r="N10" s="762">
        <v>679973.64867599995</v>
      </c>
      <c r="O10" s="762">
        <v>2612019.4909869996</v>
      </c>
      <c r="P10" s="762">
        <v>7534318.2223414667</v>
      </c>
      <c r="Q10" s="762">
        <v>7903036.1175720394</v>
      </c>
      <c r="R10" s="762">
        <v>35756188.524716005</v>
      </c>
      <c r="S10" s="448">
        <v>0</v>
      </c>
      <c r="T10" s="448"/>
      <c r="U10" s="448"/>
      <c r="V10" s="448"/>
      <c r="W10" s="448"/>
      <c r="X10" s="448"/>
      <c r="Y10" s="448"/>
      <c r="Z10" s="448"/>
      <c r="AA10" s="510"/>
    </row>
    <row r="11" spans="1:27">
      <c r="A11" s="513" t="s">
        <v>544</v>
      </c>
      <c r="B11" s="512" t="s">
        <v>545</v>
      </c>
      <c r="C11" s="782">
        <f t="shared" si="0"/>
        <v>46250228.899632961</v>
      </c>
      <c r="D11" s="762">
        <v>16123034.400025604</v>
      </c>
      <c r="E11" s="762">
        <v>16123034.400025602</v>
      </c>
      <c r="F11" s="762">
        <v>0</v>
      </c>
      <c r="G11" s="762">
        <v>0</v>
      </c>
      <c r="H11" s="762">
        <f t="shared" si="1"/>
        <v>4013346.9656834239</v>
      </c>
      <c r="I11" s="762">
        <v>4013346.9656834239</v>
      </c>
      <c r="J11" s="762">
        <v>0</v>
      </c>
      <c r="K11" s="762">
        <v>0</v>
      </c>
      <c r="L11" s="762">
        <f t="shared" si="2"/>
        <v>26113847.533923928</v>
      </c>
      <c r="M11" s="762">
        <v>11933676.575931417</v>
      </c>
      <c r="N11" s="762">
        <v>679973.64867599995</v>
      </c>
      <c r="O11" s="762">
        <v>2612019.4909869996</v>
      </c>
      <c r="P11" s="762">
        <v>7534318.2223414667</v>
      </c>
      <c r="Q11" s="762">
        <v>2036296.2579720481</v>
      </c>
      <c r="R11" s="762">
        <v>1317563.3380160001</v>
      </c>
      <c r="S11" s="448">
        <v>0</v>
      </c>
      <c r="T11" s="448"/>
      <c r="U11" s="448"/>
      <c r="V11" s="448"/>
      <c r="W11" s="448"/>
      <c r="X11" s="448"/>
      <c r="Y11" s="448"/>
      <c r="Z11" s="448"/>
      <c r="AA11" s="510"/>
    </row>
    <row r="12" spans="1:27">
      <c r="A12" s="513" t="s">
        <v>546</v>
      </c>
      <c r="B12" s="512" t="s">
        <v>547</v>
      </c>
      <c r="C12" s="782">
        <f t="shared" si="0"/>
        <v>23798231.006406002</v>
      </c>
      <c r="D12" s="762">
        <v>8600857.6557940003</v>
      </c>
      <c r="E12" s="762">
        <v>8600857.6557940003</v>
      </c>
      <c r="F12" s="762">
        <v>0</v>
      </c>
      <c r="G12" s="762">
        <v>0</v>
      </c>
      <c r="H12" s="762">
        <f t="shared" si="1"/>
        <v>3112533.4818119998</v>
      </c>
      <c r="I12" s="762">
        <v>3112533.4818119998</v>
      </c>
      <c r="J12" s="762">
        <v>0</v>
      </c>
      <c r="K12" s="762">
        <v>0</v>
      </c>
      <c r="L12" s="762">
        <f t="shared" si="2"/>
        <v>12084839.868800001</v>
      </c>
      <c r="M12" s="762">
        <v>12084839.868800001</v>
      </c>
      <c r="N12" s="762">
        <v>0</v>
      </c>
      <c r="O12" s="762">
        <v>0</v>
      </c>
      <c r="P12" s="762">
        <v>0</v>
      </c>
      <c r="Q12" s="762">
        <v>0</v>
      </c>
      <c r="R12" s="762">
        <v>0</v>
      </c>
      <c r="S12" s="448">
        <v>0</v>
      </c>
      <c r="T12" s="448"/>
      <c r="U12" s="448"/>
      <c r="V12" s="448"/>
      <c r="W12" s="448"/>
      <c r="X12" s="448"/>
      <c r="Y12" s="448"/>
      <c r="Z12" s="448"/>
      <c r="AA12" s="510"/>
    </row>
    <row r="13" spans="1:27">
      <c r="A13" s="513" t="s">
        <v>548</v>
      </c>
      <c r="B13" s="512" t="s">
        <v>549</v>
      </c>
      <c r="C13" s="782">
        <f t="shared" si="0"/>
        <v>9884860.5386999995</v>
      </c>
      <c r="D13" s="762">
        <v>366903.20870000002</v>
      </c>
      <c r="E13" s="762">
        <v>366903.20870000002</v>
      </c>
      <c r="F13" s="762">
        <v>0</v>
      </c>
      <c r="G13" s="762">
        <v>0</v>
      </c>
      <c r="H13" s="762">
        <f t="shared" si="1"/>
        <v>191025.33</v>
      </c>
      <c r="I13" s="762">
        <v>191025.33</v>
      </c>
      <c r="J13" s="762">
        <v>0</v>
      </c>
      <c r="K13" s="762">
        <v>0</v>
      </c>
      <c r="L13" s="762">
        <f t="shared" si="2"/>
        <v>9326932</v>
      </c>
      <c r="M13" s="762">
        <v>2828340</v>
      </c>
      <c r="N13" s="762">
        <v>0</v>
      </c>
      <c r="O13" s="762">
        <v>0</v>
      </c>
      <c r="P13" s="762">
        <v>0</v>
      </c>
      <c r="Q13" s="762">
        <v>0</v>
      </c>
      <c r="R13" s="762">
        <v>6498592</v>
      </c>
      <c r="S13" s="448">
        <v>0</v>
      </c>
      <c r="T13" s="448"/>
      <c r="U13" s="448"/>
      <c r="V13" s="448"/>
      <c r="W13" s="448"/>
      <c r="X13" s="448"/>
      <c r="Y13" s="448"/>
      <c r="Z13" s="448"/>
      <c r="AA13" s="510"/>
    </row>
    <row r="14" spans="1:27">
      <c r="A14" s="513" t="s">
        <v>550</v>
      </c>
      <c r="B14" s="512" t="s">
        <v>551</v>
      </c>
      <c r="C14" s="782">
        <f t="shared" si="0"/>
        <v>73226857.238550454</v>
      </c>
      <c r="D14" s="762">
        <v>21476853.288704</v>
      </c>
      <c r="E14" s="762">
        <v>21476853.288704004</v>
      </c>
      <c r="F14" s="762">
        <v>0</v>
      </c>
      <c r="G14" s="762">
        <v>0</v>
      </c>
      <c r="H14" s="762">
        <f t="shared" si="1"/>
        <v>17943230.903546449</v>
      </c>
      <c r="I14" s="762">
        <v>13151897.623546448</v>
      </c>
      <c r="J14" s="762">
        <v>4791333.28</v>
      </c>
      <c r="K14" s="762">
        <v>0</v>
      </c>
      <c r="L14" s="762">
        <f t="shared" si="2"/>
        <v>33806773.046299994</v>
      </c>
      <c r="M14" s="762">
        <v>0</v>
      </c>
      <c r="N14" s="762">
        <v>0</v>
      </c>
      <c r="O14" s="762">
        <v>0</v>
      </c>
      <c r="P14" s="762">
        <v>0</v>
      </c>
      <c r="Q14" s="762">
        <v>5866739.8595999926</v>
      </c>
      <c r="R14" s="762">
        <v>27940033.186700001</v>
      </c>
      <c r="S14" s="448">
        <v>0</v>
      </c>
      <c r="T14" s="448"/>
      <c r="U14" s="448"/>
      <c r="V14" s="448"/>
      <c r="W14" s="448"/>
      <c r="X14" s="448"/>
      <c r="Y14" s="448"/>
      <c r="Z14" s="448"/>
      <c r="AA14" s="510"/>
    </row>
    <row r="15" spans="1:27">
      <c r="A15" s="511">
        <v>1.2</v>
      </c>
      <c r="B15" s="508" t="s">
        <v>863</v>
      </c>
      <c r="C15" s="782">
        <f t="shared" si="0"/>
        <v>25583599.484704837</v>
      </c>
      <c r="D15" s="762">
        <v>323702.55192688195</v>
      </c>
      <c r="E15" s="762">
        <v>323702.55192688195</v>
      </c>
      <c r="F15" s="762">
        <v>0</v>
      </c>
      <c r="G15" s="762">
        <v>0</v>
      </c>
      <c r="H15" s="762">
        <f t="shared" si="1"/>
        <v>2953633.8189190729</v>
      </c>
      <c r="I15" s="762">
        <v>1116275.1112700775</v>
      </c>
      <c r="J15" s="762">
        <v>1837358.7076489956</v>
      </c>
      <c r="K15" s="762">
        <v>0</v>
      </c>
      <c r="L15" s="762">
        <f t="shared" si="2"/>
        <v>22306263.113858886</v>
      </c>
      <c r="M15" s="762">
        <v>5873874.7063529845</v>
      </c>
      <c r="N15" s="762">
        <v>118516.63156157899</v>
      </c>
      <c r="O15" s="762">
        <v>451034.7818632609</v>
      </c>
      <c r="P15" s="762">
        <v>2983469.261686225</v>
      </c>
      <c r="Q15" s="762">
        <v>3267858.1676382814</v>
      </c>
      <c r="R15" s="762">
        <v>9611509.5647565536</v>
      </c>
      <c r="S15" s="448">
        <v>0</v>
      </c>
      <c r="T15" s="448"/>
      <c r="U15" s="448"/>
      <c r="V15" s="448"/>
      <c r="W15" s="448"/>
      <c r="X15" s="448"/>
      <c r="Y15" s="448"/>
      <c r="Z15" s="448"/>
      <c r="AA15" s="510"/>
    </row>
    <row r="16" spans="1:27">
      <c r="A16" s="509">
        <v>1.3</v>
      </c>
      <c r="B16" s="508" t="s">
        <v>552</v>
      </c>
      <c r="C16" s="783">
        <v>0</v>
      </c>
      <c r="D16" s="784"/>
      <c r="E16" s="784"/>
      <c r="F16" s="784"/>
      <c r="G16" s="784"/>
      <c r="H16" s="784"/>
      <c r="I16" s="784"/>
      <c r="J16" s="784"/>
      <c r="K16" s="784"/>
      <c r="L16" s="784"/>
      <c r="M16" s="784"/>
      <c r="N16" s="784"/>
      <c r="O16" s="784"/>
      <c r="P16" s="784"/>
      <c r="Q16" s="784"/>
      <c r="R16" s="784"/>
      <c r="S16" s="507"/>
      <c r="T16" s="507"/>
      <c r="U16" s="507"/>
      <c r="V16" s="507"/>
      <c r="W16" s="507"/>
      <c r="X16" s="507"/>
      <c r="Y16" s="507"/>
      <c r="Z16" s="507"/>
      <c r="AA16" s="506"/>
    </row>
    <row r="17" spans="1:27" s="493" customFormat="1" ht="25.5">
      <c r="A17" s="504" t="s">
        <v>553</v>
      </c>
      <c r="B17" s="505" t="s">
        <v>554</v>
      </c>
      <c r="C17" s="782">
        <f>SUM(E17:F17,I17:J17,M17:S17)</f>
        <v>139857864.21103808</v>
      </c>
      <c r="D17" s="763">
        <v>30710037.375623588</v>
      </c>
      <c r="E17" s="763">
        <v>30710037.375623588</v>
      </c>
      <c r="F17" s="763">
        <v>0</v>
      </c>
      <c r="G17" s="763">
        <v>0</v>
      </c>
      <c r="H17" s="762">
        <f t="shared" si="1"/>
        <v>25260136.681041874</v>
      </c>
      <c r="I17" s="763">
        <v>20468803.401041873</v>
      </c>
      <c r="J17" s="762">
        <v>4791333.28</v>
      </c>
      <c r="K17" s="763">
        <v>0</v>
      </c>
      <c r="L17" s="762">
        <f t="shared" si="2"/>
        <v>83887690.154372633</v>
      </c>
      <c r="M17" s="763">
        <v>31102543.882080097</v>
      </c>
      <c r="N17" s="763">
        <v>679973.64867599995</v>
      </c>
      <c r="O17" s="763">
        <v>2612019.4909869996</v>
      </c>
      <c r="P17" s="763">
        <v>7534318.2223414667</v>
      </c>
      <c r="Q17" s="763">
        <v>6352923.6479720622</v>
      </c>
      <c r="R17" s="763">
        <v>35605911.262316003</v>
      </c>
      <c r="S17" s="448">
        <v>0</v>
      </c>
      <c r="T17" s="449"/>
      <c r="U17" s="449"/>
      <c r="V17" s="449"/>
      <c r="W17" s="449"/>
      <c r="X17" s="449"/>
      <c r="Y17" s="449"/>
      <c r="Z17" s="449"/>
      <c r="AA17" s="498"/>
    </row>
    <row r="18" spans="1:27" s="493" customFormat="1" ht="25.5">
      <c r="A18" s="501" t="s">
        <v>555</v>
      </c>
      <c r="B18" s="502" t="s">
        <v>556</v>
      </c>
      <c r="C18" s="782">
        <f>SUM(E18:F18,I18:J18,M18:S18)</f>
        <v>125616756.27223895</v>
      </c>
      <c r="D18" s="763">
        <v>30642004.692019593</v>
      </c>
      <c r="E18" s="763">
        <v>30642004.692019597</v>
      </c>
      <c r="F18" s="763">
        <v>0</v>
      </c>
      <c r="G18" s="763">
        <v>0</v>
      </c>
      <c r="H18" s="762">
        <f t="shared" si="1"/>
        <v>18387771.377495423</v>
      </c>
      <c r="I18" s="763">
        <v>18387771.377495423</v>
      </c>
      <c r="J18" s="763">
        <v>0</v>
      </c>
      <c r="K18" s="763">
        <v>0</v>
      </c>
      <c r="L18" s="762">
        <f t="shared" si="2"/>
        <v>76586980.202723935</v>
      </c>
      <c r="M18" s="763">
        <v>26846856.444731425</v>
      </c>
      <c r="N18" s="763">
        <v>679973.64867599995</v>
      </c>
      <c r="O18" s="763">
        <v>2612019.4909869996</v>
      </c>
      <c r="P18" s="763">
        <v>7534318.2223414667</v>
      </c>
      <c r="Q18" s="763">
        <v>6233601.9689720459</v>
      </c>
      <c r="R18" s="763">
        <v>32680210.427016001</v>
      </c>
      <c r="S18" s="448">
        <v>0</v>
      </c>
      <c r="T18" s="449"/>
      <c r="U18" s="449"/>
      <c r="V18" s="449"/>
      <c r="W18" s="449"/>
      <c r="X18" s="449"/>
      <c r="Y18" s="449"/>
      <c r="Z18" s="449"/>
      <c r="AA18" s="498"/>
    </row>
    <row r="19" spans="1:27" s="493" customFormat="1">
      <c r="A19" s="504" t="s">
        <v>557</v>
      </c>
      <c r="B19" s="503" t="s">
        <v>558</v>
      </c>
      <c r="C19" s="782">
        <f>SUM(E19:F19,I19:J19,M19:S19)</f>
        <v>358880588.56176192</v>
      </c>
      <c r="D19" s="763">
        <v>170315243.76857641</v>
      </c>
      <c r="E19" s="763">
        <v>170315243.76857641</v>
      </c>
      <c r="F19" s="763">
        <v>0</v>
      </c>
      <c r="G19" s="763">
        <v>0</v>
      </c>
      <c r="H19" s="762">
        <f t="shared" si="1"/>
        <v>16144076.901358141</v>
      </c>
      <c r="I19" s="763">
        <v>16144076.901358141</v>
      </c>
      <c r="J19" s="763">
        <v>0</v>
      </c>
      <c r="K19" s="763">
        <v>0</v>
      </c>
      <c r="L19" s="762">
        <f t="shared" si="2"/>
        <v>172421267.8918274</v>
      </c>
      <c r="M19" s="763">
        <v>83785260.122319907</v>
      </c>
      <c r="N19" s="763">
        <v>693988.53112400381</v>
      </c>
      <c r="O19" s="763">
        <v>10740913.404812984</v>
      </c>
      <c r="P19" s="763">
        <v>19923596.214358535</v>
      </c>
      <c r="Q19" s="763">
        <v>3912328.9776279628</v>
      </c>
      <c r="R19" s="763">
        <v>53365180.641583994</v>
      </c>
      <c r="S19" s="449"/>
      <c r="T19" s="449"/>
      <c r="U19" s="449"/>
      <c r="V19" s="449"/>
      <c r="W19" s="449"/>
      <c r="X19" s="449"/>
      <c r="Y19" s="449"/>
      <c r="Z19" s="449"/>
      <c r="AA19" s="498"/>
    </row>
    <row r="20" spans="1:27" s="493" customFormat="1">
      <c r="A20" s="501" t="s">
        <v>559</v>
      </c>
      <c r="B20" s="502" t="s">
        <v>560</v>
      </c>
      <c r="C20" s="782">
        <f>SUM(E20:F20,I20:J20,M20:S20)</f>
        <v>216205838.54446107</v>
      </c>
      <c r="D20" s="763">
        <v>165475932.9486804</v>
      </c>
      <c r="E20" s="763">
        <v>165475932.9486804</v>
      </c>
      <c r="F20" s="763">
        <v>0</v>
      </c>
      <c r="G20" s="763">
        <v>0</v>
      </c>
      <c r="H20" s="762">
        <f t="shared" si="1"/>
        <v>3326708.9249045765</v>
      </c>
      <c r="I20" s="763">
        <v>3326708.9249045765</v>
      </c>
      <c r="J20" s="763">
        <v>0</v>
      </c>
      <c r="K20" s="763">
        <v>0</v>
      </c>
      <c r="L20" s="762">
        <f t="shared" si="2"/>
        <v>47403196.670876056</v>
      </c>
      <c r="M20" s="763">
        <v>29638344.94466858</v>
      </c>
      <c r="N20" s="763">
        <v>693988.53112400009</v>
      </c>
      <c r="O20" s="763">
        <v>8361503.4848130001</v>
      </c>
      <c r="P20" s="763">
        <v>5079372.2143585337</v>
      </c>
      <c r="Q20" s="763">
        <v>1583121.0380279522</v>
      </c>
      <c r="R20" s="763">
        <v>2046866.4578839999</v>
      </c>
      <c r="S20" s="449"/>
      <c r="T20" s="449"/>
      <c r="U20" s="449"/>
      <c r="V20" s="449"/>
      <c r="W20" s="449"/>
      <c r="X20" s="449"/>
      <c r="Y20" s="449"/>
      <c r="Z20" s="449"/>
      <c r="AA20" s="498"/>
    </row>
    <row r="21" spans="1:27" s="493" customFormat="1">
      <c r="A21" s="500">
        <v>1.4</v>
      </c>
      <c r="B21" s="499" t="s">
        <v>649</v>
      </c>
      <c r="C21" s="782">
        <f>SUM(E21:F21,I21:J21,M21:S21)</f>
        <v>44648.72</v>
      </c>
      <c r="D21" s="763">
        <v>44648.72</v>
      </c>
      <c r="E21" s="763">
        <v>44648.72</v>
      </c>
      <c r="F21" s="763">
        <v>0</v>
      </c>
      <c r="G21" s="763">
        <v>0</v>
      </c>
      <c r="H21" s="762">
        <f t="shared" si="1"/>
        <v>0</v>
      </c>
      <c r="I21" s="763">
        <v>0</v>
      </c>
      <c r="J21" s="763">
        <v>0</v>
      </c>
      <c r="K21" s="763">
        <v>0</v>
      </c>
      <c r="L21" s="762">
        <f t="shared" si="2"/>
        <v>0</v>
      </c>
      <c r="M21" s="763">
        <v>0</v>
      </c>
      <c r="N21" s="763">
        <v>0</v>
      </c>
      <c r="O21" s="763">
        <v>0</v>
      </c>
      <c r="P21" s="763">
        <v>0</v>
      </c>
      <c r="Q21" s="763">
        <v>0</v>
      </c>
      <c r="R21" s="763">
        <v>0</v>
      </c>
      <c r="S21" s="449"/>
      <c r="T21" s="449"/>
      <c r="U21" s="449"/>
      <c r="V21" s="449"/>
      <c r="W21" s="449"/>
      <c r="X21" s="449"/>
      <c r="Y21" s="449"/>
      <c r="Z21" s="449"/>
      <c r="AA21" s="498"/>
    </row>
    <row r="22" spans="1:27" s="493" customFormat="1" ht="13.5" thickBot="1">
      <c r="A22" s="497">
        <v>1.5</v>
      </c>
      <c r="B22" s="496" t="s">
        <v>650</v>
      </c>
      <c r="C22" s="785">
        <v>0</v>
      </c>
      <c r="D22" s="786">
        <v>0</v>
      </c>
      <c r="E22" s="786">
        <v>0</v>
      </c>
      <c r="F22" s="786">
        <v>0</v>
      </c>
      <c r="G22" s="786">
        <v>0</v>
      </c>
      <c r="H22" s="762">
        <f t="shared" si="1"/>
        <v>0</v>
      </c>
      <c r="I22" s="786">
        <v>0</v>
      </c>
      <c r="J22" s="786">
        <v>0</v>
      </c>
      <c r="K22" s="786">
        <v>0</v>
      </c>
      <c r="L22" s="762">
        <f t="shared" si="2"/>
        <v>0</v>
      </c>
      <c r="M22" s="786">
        <v>0</v>
      </c>
      <c r="N22" s="786">
        <v>0</v>
      </c>
      <c r="O22" s="786">
        <v>0</v>
      </c>
      <c r="P22" s="786">
        <v>0</v>
      </c>
      <c r="Q22" s="786">
        <v>0</v>
      </c>
      <c r="R22" s="786">
        <v>0</v>
      </c>
      <c r="S22" s="495"/>
      <c r="T22" s="495"/>
      <c r="U22" s="495"/>
      <c r="V22" s="495"/>
      <c r="W22" s="495"/>
      <c r="X22" s="495"/>
      <c r="Y22" s="495"/>
      <c r="Z22" s="495"/>
      <c r="AA22" s="494"/>
    </row>
    <row r="23" spans="1:27">
      <c r="C23" s="775">
        <f>SUM(E8:F8,I8:J8,M8:S8)-C8</f>
        <v>0</v>
      </c>
      <c r="D23" s="775">
        <f>D8-E8</f>
        <v>0</v>
      </c>
      <c r="H23" s="775">
        <f>H8-'22. Quality'!H8</f>
        <v>0.2800000011920929</v>
      </c>
      <c r="L23" s="775">
        <f>L8-'19. Assets by Risk Sectors'!C34</f>
        <v>0</v>
      </c>
    </row>
    <row r="24" spans="1:27">
      <c r="C24" s="775">
        <f>SUM(E9:F9,I9:J9,M9:S9)-C9</f>
        <v>0</v>
      </c>
      <c r="D24" s="775">
        <f t="shared" ref="D24:D37" si="3">D9-E9</f>
        <v>0</v>
      </c>
      <c r="L24" s="775">
        <f>SUM(M8:S8)-L8</f>
        <v>0</v>
      </c>
    </row>
    <row r="25" spans="1:27">
      <c r="C25" s="775">
        <f t="shared" ref="C25:C37" si="4">SUM(E10:F10,I10:J10,M10:S10)-C10</f>
        <v>0</v>
      </c>
      <c r="D25" s="775">
        <f t="shared" si="3"/>
        <v>0</v>
      </c>
      <c r="L25" s="775">
        <f t="shared" ref="L25:L38" si="5">SUM(M9:S9)-L9</f>
        <v>0</v>
      </c>
    </row>
    <row r="26" spans="1:27">
      <c r="C26" s="775">
        <f t="shared" si="4"/>
        <v>0</v>
      </c>
      <c r="D26" s="775">
        <f t="shared" si="3"/>
        <v>0</v>
      </c>
      <c r="L26" s="775">
        <f t="shared" si="5"/>
        <v>0</v>
      </c>
    </row>
    <row r="27" spans="1:27">
      <c r="C27" s="775">
        <f t="shared" si="4"/>
        <v>0</v>
      </c>
      <c r="D27" s="775">
        <f t="shared" si="3"/>
        <v>0</v>
      </c>
      <c r="L27" s="775">
        <f t="shared" si="5"/>
        <v>0</v>
      </c>
    </row>
    <row r="28" spans="1:27">
      <c r="C28" s="775">
        <f t="shared" si="4"/>
        <v>0</v>
      </c>
      <c r="D28" s="775">
        <f t="shared" si="3"/>
        <v>0</v>
      </c>
      <c r="L28" s="775">
        <f t="shared" si="5"/>
        <v>0</v>
      </c>
    </row>
    <row r="29" spans="1:27">
      <c r="C29" s="775">
        <f t="shared" si="4"/>
        <v>0</v>
      </c>
      <c r="D29" s="775">
        <f t="shared" si="3"/>
        <v>0</v>
      </c>
      <c r="L29" s="775">
        <f t="shared" si="5"/>
        <v>0</v>
      </c>
    </row>
    <row r="30" spans="1:27">
      <c r="C30" s="775">
        <f t="shared" si="4"/>
        <v>0</v>
      </c>
      <c r="D30" s="775">
        <f t="shared" si="3"/>
        <v>0</v>
      </c>
      <c r="L30" s="775">
        <f t="shared" si="5"/>
        <v>0</v>
      </c>
    </row>
    <row r="31" spans="1:27">
      <c r="C31" s="775">
        <f t="shared" si="4"/>
        <v>0</v>
      </c>
      <c r="D31" s="775">
        <f t="shared" si="3"/>
        <v>0</v>
      </c>
      <c r="L31" s="775">
        <f t="shared" si="5"/>
        <v>0</v>
      </c>
    </row>
    <row r="32" spans="1:27">
      <c r="C32" s="775">
        <f t="shared" si="4"/>
        <v>0</v>
      </c>
      <c r="D32" s="775">
        <f t="shared" si="3"/>
        <v>0</v>
      </c>
      <c r="L32" s="775">
        <f t="shared" si="5"/>
        <v>0</v>
      </c>
    </row>
    <row r="33" spans="3:12">
      <c r="C33" s="775">
        <f t="shared" si="4"/>
        <v>0</v>
      </c>
      <c r="D33" s="775">
        <f t="shared" si="3"/>
        <v>0</v>
      </c>
      <c r="L33" s="775">
        <f t="shared" si="5"/>
        <v>0</v>
      </c>
    </row>
    <row r="34" spans="3:12">
      <c r="C34" s="775">
        <f t="shared" si="4"/>
        <v>0</v>
      </c>
      <c r="D34" s="775">
        <f t="shared" si="3"/>
        <v>0</v>
      </c>
      <c r="L34" s="775">
        <f t="shared" si="5"/>
        <v>0</v>
      </c>
    </row>
    <row r="35" spans="3:12">
      <c r="C35" s="775">
        <f t="shared" si="4"/>
        <v>0</v>
      </c>
      <c r="D35" s="775">
        <f t="shared" si="3"/>
        <v>0</v>
      </c>
      <c r="L35" s="775">
        <f t="shared" si="5"/>
        <v>0</v>
      </c>
    </row>
    <row r="36" spans="3:12">
      <c r="C36" s="775">
        <f t="shared" si="4"/>
        <v>0</v>
      </c>
      <c r="D36" s="775">
        <f t="shared" si="3"/>
        <v>0</v>
      </c>
      <c r="L36" s="775">
        <f t="shared" si="5"/>
        <v>0</v>
      </c>
    </row>
    <row r="37" spans="3:12">
      <c r="C37" s="775">
        <f t="shared" si="4"/>
        <v>0</v>
      </c>
      <c r="D37" s="775">
        <f t="shared" si="3"/>
        <v>0</v>
      </c>
      <c r="L37" s="775">
        <f t="shared" si="5"/>
        <v>0</v>
      </c>
    </row>
    <row r="38" spans="3:12">
      <c r="L38" s="775">
        <f t="shared" si="5"/>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72"/>
  <sheetViews>
    <sheetView zoomScale="80" zoomScaleNormal="80" workbookViewId="0"/>
  </sheetViews>
  <sheetFormatPr defaultRowHeight="15"/>
  <cols>
    <col min="1" max="1" width="8.7109375" style="420"/>
    <col min="2" max="2" width="69.28515625" style="392" customWidth="1"/>
    <col min="3" max="3" width="13.7109375" customWidth="1"/>
    <col min="4" max="4" width="14.42578125" customWidth="1"/>
    <col min="5" max="6" width="13.28515625" customWidth="1"/>
    <col min="7" max="7" width="14.7109375" bestFit="1" customWidth="1"/>
    <col min="8" max="8" width="13.28515625" customWidth="1"/>
  </cols>
  <sheetData>
    <row r="1" spans="1:8" ht="15.75">
      <c r="A1" s="17" t="s">
        <v>97</v>
      </c>
      <c r="B1" s="267" t="str">
        <f>Info!C2</f>
        <v>სს "ვითიბი ბანკი ჯორჯია"</v>
      </c>
      <c r="C1" s="16"/>
      <c r="D1" s="204"/>
      <c r="E1" s="204"/>
      <c r="F1" s="204"/>
      <c r="G1" s="204"/>
    </row>
    <row r="2" spans="1:8" ht="15.75">
      <c r="A2" s="17" t="s">
        <v>98</v>
      </c>
      <c r="B2" s="295">
        <f>'1. key ratios'!B2</f>
        <v>45930</v>
      </c>
      <c r="C2" s="28"/>
      <c r="D2" s="18"/>
      <c r="E2" s="18"/>
      <c r="F2" s="18"/>
      <c r="G2" s="18"/>
      <c r="H2" s="1"/>
    </row>
    <row r="3" spans="1:8" ht="15.75">
      <c r="A3" s="17"/>
      <c r="B3" s="16"/>
      <c r="C3" s="28"/>
      <c r="D3" s="18"/>
      <c r="E3" s="18"/>
      <c r="F3" s="18"/>
      <c r="G3" s="18"/>
      <c r="H3" s="1"/>
    </row>
    <row r="4" spans="1:8" ht="21" customHeight="1">
      <c r="A4" s="825" t="s">
        <v>25</v>
      </c>
      <c r="B4" s="826" t="s">
        <v>697</v>
      </c>
      <c r="C4" s="828" t="s">
        <v>103</v>
      </c>
      <c r="D4" s="828"/>
      <c r="E4" s="828"/>
      <c r="F4" s="828" t="s">
        <v>104</v>
      </c>
      <c r="G4" s="828"/>
      <c r="H4" s="829"/>
    </row>
    <row r="5" spans="1:8" ht="21" customHeight="1">
      <c r="A5" s="825"/>
      <c r="B5" s="827"/>
      <c r="C5" s="361" t="s">
        <v>26</v>
      </c>
      <c r="D5" s="361" t="s">
        <v>77</v>
      </c>
      <c r="E5" s="361" t="s">
        <v>66</v>
      </c>
      <c r="F5" s="361" t="s">
        <v>26</v>
      </c>
      <c r="G5" s="361" t="s">
        <v>77</v>
      </c>
      <c r="H5" s="361" t="s">
        <v>66</v>
      </c>
    </row>
    <row r="6" spans="1:8" ht="26.65" customHeight="1">
      <c r="A6" s="825"/>
      <c r="B6" s="362" t="s">
        <v>84</v>
      </c>
      <c r="C6" s="819"/>
      <c r="D6" s="820"/>
      <c r="E6" s="820"/>
      <c r="F6" s="820"/>
      <c r="G6" s="820"/>
      <c r="H6" s="821"/>
    </row>
    <row r="7" spans="1:8" ht="22.9" customHeight="1">
      <c r="A7" s="408">
        <v>1</v>
      </c>
      <c r="B7" s="363" t="s">
        <v>811</v>
      </c>
      <c r="C7" s="707">
        <v>105285575.40000001</v>
      </c>
      <c r="D7" s="707">
        <v>99307270.411500007</v>
      </c>
      <c r="E7" s="710">
        <f>C7+D7</f>
        <v>204592845.81150001</v>
      </c>
      <c r="F7" s="707">
        <v>92468536.5</v>
      </c>
      <c r="G7" s="707">
        <v>81467656.335099995</v>
      </c>
      <c r="H7" s="710">
        <f>F7+G7</f>
        <v>173936192.8351</v>
      </c>
    </row>
    <row r="8" spans="1:8">
      <c r="A8" s="408">
        <v>1.1000000000000001</v>
      </c>
      <c r="B8" s="364" t="s">
        <v>85</v>
      </c>
      <c r="C8" s="707">
        <v>105285224.04000001</v>
      </c>
      <c r="D8" s="707">
        <v>92225000.844300002</v>
      </c>
      <c r="E8" s="710">
        <f t="shared" ref="E8:E36" si="0">C8+D8</f>
        <v>197510224.88429999</v>
      </c>
      <c r="F8" s="707">
        <v>92468185.140000001</v>
      </c>
      <c r="G8" s="707">
        <v>74438750.0792</v>
      </c>
      <c r="H8" s="710">
        <f t="shared" ref="H8:H36" si="1">F8+G8</f>
        <v>166906935.21920002</v>
      </c>
    </row>
    <row r="9" spans="1:8">
      <c r="A9" s="408">
        <v>1.2</v>
      </c>
      <c r="B9" s="364" t="s">
        <v>86</v>
      </c>
      <c r="C9" s="707">
        <v>351.36</v>
      </c>
      <c r="D9" s="707">
        <v>0</v>
      </c>
      <c r="E9" s="710">
        <f t="shared" si="0"/>
        <v>351.36</v>
      </c>
      <c r="F9" s="707">
        <v>351.36</v>
      </c>
      <c r="G9" s="707">
        <v>0</v>
      </c>
      <c r="H9" s="710">
        <f t="shared" si="1"/>
        <v>351.36</v>
      </c>
    </row>
    <row r="10" spans="1:8">
      <c r="A10" s="408">
        <v>1.3</v>
      </c>
      <c r="B10" s="364" t="s">
        <v>87</v>
      </c>
      <c r="C10" s="707">
        <v>0</v>
      </c>
      <c r="D10" s="707">
        <v>7082269.5671999995</v>
      </c>
      <c r="E10" s="710">
        <f t="shared" si="0"/>
        <v>7082269.5671999995</v>
      </c>
      <c r="F10" s="707">
        <v>0</v>
      </c>
      <c r="G10" s="707">
        <v>7028906.2559000002</v>
      </c>
      <c r="H10" s="710">
        <f t="shared" si="1"/>
        <v>7028906.2559000002</v>
      </c>
    </row>
    <row r="11" spans="1:8">
      <c r="A11" s="408">
        <v>2</v>
      </c>
      <c r="B11" s="365" t="s">
        <v>698</v>
      </c>
      <c r="C11" s="707"/>
      <c r="D11" s="707"/>
      <c r="E11" s="710">
        <f t="shared" si="0"/>
        <v>0</v>
      </c>
      <c r="F11" s="707"/>
      <c r="G11" s="707"/>
      <c r="H11" s="710">
        <f t="shared" si="1"/>
        <v>0</v>
      </c>
    </row>
    <row r="12" spans="1:8">
      <c r="A12" s="408">
        <v>2.1</v>
      </c>
      <c r="B12" s="366" t="s">
        <v>699</v>
      </c>
      <c r="C12" s="707"/>
      <c r="D12" s="707"/>
      <c r="E12" s="710">
        <f t="shared" si="0"/>
        <v>0</v>
      </c>
      <c r="F12" s="707"/>
      <c r="G12" s="707"/>
      <c r="H12" s="710">
        <f t="shared" si="1"/>
        <v>0</v>
      </c>
    </row>
    <row r="13" spans="1:8" ht="26.65" customHeight="1">
      <c r="A13" s="408">
        <v>3</v>
      </c>
      <c r="B13" s="367" t="s">
        <v>700</v>
      </c>
      <c r="C13" s="707"/>
      <c r="D13" s="707"/>
      <c r="E13" s="710">
        <f t="shared" si="0"/>
        <v>0</v>
      </c>
      <c r="F13" s="707"/>
      <c r="G13" s="707"/>
      <c r="H13" s="710">
        <f t="shared" si="1"/>
        <v>0</v>
      </c>
    </row>
    <row r="14" spans="1:8" ht="26.65" customHeight="1">
      <c r="A14" s="408">
        <v>4</v>
      </c>
      <c r="B14" s="368" t="s">
        <v>701</v>
      </c>
      <c r="C14" s="707"/>
      <c r="D14" s="707"/>
      <c r="E14" s="710">
        <f t="shared" si="0"/>
        <v>0</v>
      </c>
      <c r="F14" s="707"/>
      <c r="G14" s="707"/>
      <c r="H14" s="710">
        <f t="shared" si="1"/>
        <v>0</v>
      </c>
    </row>
    <row r="15" spans="1:8" ht="24.4" customHeight="1">
      <c r="A15" s="408">
        <v>5</v>
      </c>
      <c r="B15" s="368" t="s">
        <v>702</v>
      </c>
      <c r="C15" s="708">
        <v>54000</v>
      </c>
      <c r="D15" s="708">
        <v>0</v>
      </c>
      <c r="E15" s="711">
        <f t="shared" si="0"/>
        <v>54000</v>
      </c>
      <c r="F15" s="708">
        <v>54000</v>
      </c>
      <c r="G15" s="708">
        <v>0</v>
      </c>
      <c r="H15" s="711">
        <f t="shared" si="1"/>
        <v>54000</v>
      </c>
    </row>
    <row r="16" spans="1:8">
      <c r="A16" s="408">
        <v>5.0999999999999996</v>
      </c>
      <c r="B16" s="369" t="s">
        <v>703</v>
      </c>
      <c r="C16" s="707">
        <v>54000</v>
      </c>
      <c r="D16" s="707">
        <v>0</v>
      </c>
      <c r="E16" s="710">
        <f t="shared" si="0"/>
        <v>54000</v>
      </c>
      <c r="F16" s="707">
        <v>54000</v>
      </c>
      <c r="G16" s="707">
        <v>0</v>
      </c>
      <c r="H16" s="710">
        <f t="shared" si="1"/>
        <v>54000</v>
      </c>
    </row>
    <row r="17" spans="1:8">
      <c r="A17" s="408">
        <v>5.2</v>
      </c>
      <c r="B17" s="369" t="s">
        <v>538</v>
      </c>
      <c r="C17" s="707"/>
      <c r="D17" s="707"/>
      <c r="E17" s="710">
        <f t="shared" si="0"/>
        <v>0</v>
      </c>
      <c r="F17" s="707"/>
      <c r="G17" s="707"/>
      <c r="H17" s="710">
        <f t="shared" si="1"/>
        <v>0</v>
      </c>
    </row>
    <row r="18" spans="1:8">
      <c r="A18" s="408">
        <v>5.3</v>
      </c>
      <c r="B18" s="369" t="s">
        <v>704</v>
      </c>
      <c r="C18" s="707"/>
      <c r="D18" s="707"/>
      <c r="E18" s="710">
        <f t="shared" si="0"/>
        <v>0</v>
      </c>
      <c r="F18" s="707"/>
      <c r="G18" s="707"/>
      <c r="H18" s="710">
        <f t="shared" si="1"/>
        <v>0</v>
      </c>
    </row>
    <row r="19" spans="1:8">
      <c r="A19" s="408">
        <v>6</v>
      </c>
      <c r="B19" s="367" t="s">
        <v>705</v>
      </c>
      <c r="C19" s="707">
        <v>48501065.328068033</v>
      </c>
      <c r="D19" s="707">
        <v>85459220.537089095</v>
      </c>
      <c r="E19" s="710">
        <f t="shared" si="0"/>
        <v>133960285.86515713</v>
      </c>
      <c r="F19" s="707">
        <v>66960099.610203683</v>
      </c>
      <c r="G19" s="707">
        <v>113353574.84610026</v>
      </c>
      <c r="H19" s="710">
        <f t="shared" si="1"/>
        <v>180313674.45630395</v>
      </c>
    </row>
    <row r="20" spans="1:8">
      <c r="A20" s="408">
        <v>6.1</v>
      </c>
      <c r="B20" s="369" t="s">
        <v>538</v>
      </c>
      <c r="C20" s="707"/>
      <c r="D20" s="707"/>
      <c r="E20" s="710">
        <f t="shared" si="0"/>
        <v>0</v>
      </c>
      <c r="F20" s="707"/>
      <c r="G20" s="707"/>
      <c r="H20" s="710">
        <f t="shared" si="1"/>
        <v>0</v>
      </c>
    </row>
    <row r="21" spans="1:8">
      <c r="A21" s="408">
        <v>6.2</v>
      </c>
      <c r="B21" s="369" t="s">
        <v>704</v>
      </c>
      <c r="C21" s="707">
        <v>48501065.328068033</v>
      </c>
      <c r="D21" s="707">
        <v>85459220.537089095</v>
      </c>
      <c r="E21" s="710">
        <f t="shared" si="0"/>
        <v>133960285.86515713</v>
      </c>
      <c r="F21" s="707">
        <v>66960099.610203683</v>
      </c>
      <c r="G21" s="707">
        <v>113353574.84610026</v>
      </c>
      <c r="H21" s="710">
        <f t="shared" si="1"/>
        <v>180313674.45630395</v>
      </c>
    </row>
    <row r="22" spans="1:8">
      <c r="A22" s="408">
        <v>7</v>
      </c>
      <c r="B22" s="370" t="s">
        <v>706</v>
      </c>
      <c r="C22" s="707"/>
      <c r="D22" s="707"/>
      <c r="E22" s="710">
        <f t="shared" si="0"/>
        <v>0</v>
      </c>
      <c r="F22" s="707">
        <v>0</v>
      </c>
      <c r="G22" s="707"/>
      <c r="H22" s="710">
        <f t="shared" si="1"/>
        <v>0</v>
      </c>
    </row>
    <row r="23" spans="1:8" ht="21">
      <c r="A23" s="408">
        <v>8</v>
      </c>
      <c r="B23" s="371" t="s">
        <v>707</v>
      </c>
      <c r="C23" s="707"/>
      <c r="D23" s="707"/>
      <c r="E23" s="710">
        <f t="shared" si="0"/>
        <v>0</v>
      </c>
      <c r="F23" s="707"/>
      <c r="G23" s="707"/>
      <c r="H23" s="710">
        <f t="shared" si="1"/>
        <v>0</v>
      </c>
    </row>
    <row r="24" spans="1:8">
      <c r="A24" s="408">
        <v>9</v>
      </c>
      <c r="B24" s="368" t="s">
        <v>708</v>
      </c>
      <c r="C24" s="707">
        <v>60494587.259999998</v>
      </c>
      <c r="D24" s="707">
        <v>0</v>
      </c>
      <c r="E24" s="710">
        <f t="shared" si="0"/>
        <v>60494587.259999998</v>
      </c>
      <c r="F24" s="707">
        <v>61688377.610000014</v>
      </c>
      <c r="G24" s="707">
        <v>0</v>
      </c>
      <c r="H24" s="710">
        <f t="shared" si="1"/>
        <v>61688377.610000014</v>
      </c>
    </row>
    <row r="25" spans="1:8">
      <c r="A25" s="408">
        <v>9.1</v>
      </c>
      <c r="B25" s="372" t="s">
        <v>709</v>
      </c>
      <c r="C25" s="707">
        <v>33138780.259999998</v>
      </c>
      <c r="D25" s="707"/>
      <c r="E25" s="710">
        <f t="shared" si="0"/>
        <v>33138780.259999998</v>
      </c>
      <c r="F25" s="707">
        <v>33613388.479999997</v>
      </c>
      <c r="G25" s="707"/>
      <c r="H25" s="710">
        <f t="shared" si="1"/>
        <v>33613388.479999997</v>
      </c>
    </row>
    <row r="26" spans="1:8">
      <c r="A26" s="408">
        <v>9.1999999999999993</v>
      </c>
      <c r="B26" s="372" t="s">
        <v>710</v>
      </c>
      <c r="C26" s="707">
        <v>27355807</v>
      </c>
      <c r="D26" s="707"/>
      <c r="E26" s="710">
        <f t="shared" si="0"/>
        <v>27355807</v>
      </c>
      <c r="F26" s="707">
        <v>28074989.130000018</v>
      </c>
      <c r="G26" s="707"/>
      <c r="H26" s="710">
        <f t="shared" si="1"/>
        <v>28074989.130000018</v>
      </c>
    </row>
    <row r="27" spans="1:8">
      <c r="A27" s="408">
        <v>10</v>
      </c>
      <c r="B27" s="368" t="s">
        <v>36</v>
      </c>
      <c r="C27" s="707">
        <v>856529.25</v>
      </c>
      <c r="D27" s="707">
        <v>0</v>
      </c>
      <c r="E27" s="710">
        <f t="shared" si="0"/>
        <v>856529.25</v>
      </c>
      <c r="F27" s="707">
        <v>1067767.3400000001</v>
      </c>
      <c r="G27" s="707">
        <v>0</v>
      </c>
      <c r="H27" s="710">
        <f t="shared" si="1"/>
        <v>1067767.3400000001</v>
      </c>
    </row>
    <row r="28" spans="1:8">
      <c r="A28" s="408">
        <v>10.1</v>
      </c>
      <c r="B28" s="372" t="s">
        <v>711</v>
      </c>
      <c r="C28" s="707"/>
      <c r="D28" s="707"/>
      <c r="E28" s="710">
        <f t="shared" si="0"/>
        <v>0</v>
      </c>
      <c r="F28" s="707"/>
      <c r="G28" s="707"/>
      <c r="H28" s="710">
        <f t="shared" si="1"/>
        <v>0</v>
      </c>
    </row>
    <row r="29" spans="1:8">
      <c r="A29" s="408">
        <v>10.199999999999999</v>
      </c>
      <c r="B29" s="372" t="s">
        <v>712</v>
      </c>
      <c r="C29" s="707">
        <v>856529.25</v>
      </c>
      <c r="D29" s="707"/>
      <c r="E29" s="710">
        <f t="shared" si="0"/>
        <v>856529.25</v>
      </c>
      <c r="F29" s="707">
        <v>1067767.3400000001</v>
      </c>
      <c r="G29" s="707"/>
      <c r="H29" s="710">
        <f t="shared" si="1"/>
        <v>1067767.3400000001</v>
      </c>
    </row>
    <row r="30" spans="1:8">
      <c r="A30" s="408">
        <v>11</v>
      </c>
      <c r="B30" s="368" t="s">
        <v>713</v>
      </c>
      <c r="C30" s="707">
        <v>0</v>
      </c>
      <c r="D30" s="707">
        <v>0</v>
      </c>
      <c r="E30" s="710">
        <f t="shared" si="0"/>
        <v>0</v>
      </c>
      <c r="F30" s="707">
        <v>958167.91</v>
      </c>
      <c r="G30" s="707">
        <v>0</v>
      </c>
      <c r="H30" s="710">
        <f t="shared" si="1"/>
        <v>958167.91</v>
      </c>
    </row>
    <row r="31" spans="1:8">
      <c r="A31" s="408">
        <v>11.1</v>
      </c>
      <c r="B31" s="372" t="s">
        <v>714</v>
      </c>
      <c r="C31" s="707">
        <v>0</v>
      </c>
      <c r="D31" s="707"/>
      <c r="E31" s="710">
        <f t="shared" si="0"/>
        <v>0</v>
      </c>
      <c r="F31" s="707">
        <v>958167.91</v>
      </c>
      <c r="G31" s="707"/>
      <c r="H31" s="710">
        <f t="shared" si="1"/>
        <v>958167.91</v>
      </c>
    </row>
    <row r="32" spans="1:8">
      <c r="A32" s="408">
        <v>11.2</v>
      </c>
      <c r="B32" s="372" t="s">
        <v>715</v>
      </c>
      <c r="C32" s="707">
        <v>0</v>
      </c>
      <c r="D32" s="707"/>
      <c r="E32" s="710">
        <f t="shared" si="0"/>
        <v>0</v>
      </c>
      <c r="F32" s="707">
        <v>0</v>
      </c>
      <c r="G32" s="707"/>
      <c r="H32" s="710">
        <f t="shared" si="1"/>
        <v>0</v>
      </c>
    </row>
    <row r="33" spans="1:8">
      <c r="A33" s="408">
        <v>13</v>
      </c>
      <c r="B33" s="368" t="s">
        <v>88</v>
      </c>
      <c r="C33" s="707">
        <v>42030228.165299982</v>
      </c>
      <c r="D33" s="707">
        <v>705154.28669963358</v>
      </c>
      <c r="E33" s="710">
        <f t="shared" si="0"/>
        <v>42735382.451999612</v>
      </c>
      <c r="F33" s="707">
        <v>36862975.710000001</v>
      </c>
      <c r="G33" s="707">
        <v>3400971.7660000138</v>
      </c>
      <c r="H33" s="710">
        <f t="shared" si="1"/>
        <v>40263947.476000011</v>
      </c>
    </row>
    <row r="34" spans="1:8">
      <c r="A34" s="408">
        <v>13.1</v>
      </c>
      <c r="B34" s="373" t="s">
        <v>716</v>
      </c>
      <c r="C34" s="707">
        <v>26496402</v>
      </c>
      <c r="D34" s="707"/>
      <c r="E34" s="710">
        <f t="shared" si="0"/>
        <v>26496402</v>
      </c>
      <c r="F34" s="707">
        <v>22019563</v>
      </c>
      <c r="G34" s="707"/>
      <c r="H34" s="710">
        <f t="shared" si="1"/>
        <v>22019563</v>
      </c>
    </row>
    <row r="35" spans="1:8">
      <c r="A35" s="408">
        <v>13.2</v>
      </c>
      <c r="B35" s="373" t="s">
        <v>717</v>
      </c>
      <c r="C35" s="707"/>
      <c r="D35" s="707"/>
      <c r="E35" s="710">
        <f t="shared" si="0"/>
        <v>0</v>
      </c>
      <c r="F35" s="707"/>
      <c r="G35" s="707"/>
      <c r="H35" s="710">
        <f t="shared" si="1"/>
        <v>0</v>
      </c>
    </row>
    <row r="36" spans="1:8">
      <c r="A36" s="408">
        <v>14</v>
      </c>
      <c r="B36" s="374" t="s">
        <v>718</v>
      </c>
      <c r="C36" s="707">
        <v>257221985.40336803</v>
      </c>
      <c r="D36" s="707">
        <v>185471645.23528871</v>
      </c>
      <c r="E36" s="710">
        <f t="shared" si="0"/>
        <v>442693630.63865674</v>
      </c>
      <c r="F36" s="707">
        <v>260059924.68020371</v>
      </c>
      <c r="G36" s="707">
        <v>198222202.94720027</v>
      </c>
      <c r="H36" s="710">
        <f t="shared" si="1"/>
        <v>458282127.62740397</v>
      </c>
    </row>
    <row r="37" spans="1:8" ht="22.5" customHeight="1">
      <c r="A37" s="408"/>
      <c r="B37" s="375" t="s">
        <v>93</v>
      </c>
      <c r="C37" s="819"/>
      <c r="D37" s="820"/>
      <c r="E37" s="820"/>
      <c r="F37" s="820"/>
      <c r="G37" s="820"/>
      <c r="H37" s="821"/>
    </row>
    <row r="38" spans="1:8">
      <c r="A38" s="408">
        <v>15</v>
      </c>
      <c r="B38" s="376" t="s">
        <v>719</v>
      </c>
      <c r="C38" s="707"/>
      <c r="D38" s="707"/>
      <c r="E38" s="378">
        <f>C38+D38</f>
        <v>0</v>
      </c>
      <c r="F38" s="709"/>
      <c r="G38" s="709"/>
      <c r="H38" s="378">
        <f>F38+G38</f>
        <v>0</v>
      </c>
    </row>
    <row r="39" spans="1:8">
      <c r="A39" s="408">
        <v>15.1</v>
      </c>
      <c r="B39" s="379" t="s">
        <v>699</v>
      </c>
      <c r="C39" s="707"/>
      <c r="D39" s="707"/>
      <c r="E39" s="378">
        <f t="shared" ref="E39:E53" si="2">C39+D39</f>
        <v>0</v>
      </c>
      <c r="F39" s="709"/>
      <c r="G39" s="709"/>
      <c r="H39" s="378">
        <f t="shared" ref="H39:H53" si="3">F39+G39</f>
        <v>0</v>
      </c>
    </row>
    <row r="40" spans="1:8" ht="24" customHeight="1">
      <c r="A40" s="408">
        <v>16</v>
      </c>
      <c r="B40" s="370" t="s">
        <v>720</v>
      </c>
      <c r="C40" s="707"/>
      <c r="D40" s="707"/>
      <c r="E40" s="378">
        <f t="shared" si="2"/>
        <v>0</v>
      </c>
      <c r="F40" s="709"/>
      <c r="G40" s="709"/>
      <c r="H40" s="378">
        <f t="shared" si="3"/>
        <v>0</v>
      </c>
    </row>
    <row r="41" spans="1:8" ht="21">
      <c r="A41" s="408">
        <v>17</v>
      </c>
      <c r="B41" s="370" t="s">
        <v>721</v>
      </c>
      <c r="C41" s="707">
        <v>12254634.020000001</v>
      </c>
      <c r="D41" s="707">
        <v>741584.49239999999</v>
      </c>
      <c r="E41" s="378">
        <f t="shared" si="2"/>
        <v>12996218.512400001</v>
      </c>
      <c r="F41" s="709">
        <v>13075231.040000001</v>
      </c>
      <c r="G41" s="709">
        <v>1464601.5863000001</v>
      </c>
      <c r="H41" s="378">
        <f t="shared" si="3"/>
        <v>14539832.626300002</v>
      </c>
    </row>
    <row r="42" spans="1:8">
      <c r="A42" s="408">
        <v>17.100000000000001</v>
      </c>
      <c r="B42" s="380" t="s">
        <v>722</v>
      </c>
      <c r="C42" s="707">
        <v>12254634.020000001</v>
      </c>
      <c r="D42" s="707">
        <v>741584.49239999999</v>
      </c>
      <c r="E42" s="378">
        <f t="shared" si="2"/>
        <v>12996218.512400001</v>
      </c>
      <c r="F42" s="709">
        <v>13075231.040000001</v>
      </c>
      <c r="G42" s="709">
        <v>1464601.5863000001</v>
      </c>
      <c r="H42" s="378">
        <f t="shared" si="3"/>
        <v>14539832.626300002</v>
      </c>
    </row>
    <row r="43" spans="1:8">
      <c r="A43" s="408">
        <v>17.2</v>
      </c>
      <c r="B43" s="381" t="s">
        <v>89</v>
      </c>
      <c r="C43" s="707"/>
      <c r="D43" s="707"/>
      <c r="E43" s="378">
        <f t="shared" si="2"/>
        <v>0</v>
      </c>
      <c r="F43" s="709"/>
      <c r="G43" s="709"/>
      <c r="H43" s="378">
        <f t="shared" si="3"/>
        <v>0</v>
      </c>
    </row>
    <row r="44" spans="1:8">
      <c r="A44" s="408">
        <v>17.3</v>
      </c>
      <c r="B44" s="380" t="s">
        <v>723</v>
      </c>
      <c r="C44" s="707"/>
      <c r="D44" s="707"/>
      <c r="E44" s="378">
        <f t="shared" si="2"/>
        <v>0</v>
      </c>
      <c r="F44" s="709"/>
      <c r="G44" s="709"/>
      <c r="H44" s="378">
        <f t="shared" si="3"/>
        <v>0</v>
      </c>
    </row>
    <row r="45" spans="1:8">
      <c r="A45" s="408">
        <v>17.399999999999999</v>
      </c>
      <c r="B45" s="380" t="s">
        <v>724</v>
      </c>
      <c r="C45" s="707"/>
      <c r="D45" s="707"/>
      <c r="E45" s="378">
        <f t="shared" si="2"/>
        <v>0</v>
      </c>
      <c r="F45" s="709"/>
      <c r="G45" s="709"/>
      <c r="H45" s="378">
        <f t="shared" si="3"/>
        <v>0</v>
      </c>
    </row>
    <row r="46" spans="1:8">
      <c r="A46" s="408">
        <v>18</v>
      </c>
      <c r="B46" s="382" t="s">
        <v>725</v>
      </c>
      <c r="C46" s="707">
        <v>7949.1754861820946</v>
      </c>
      <c r="D46" s="707">
        <v>9.4853153738029672</v>
      </c>
      <c r="E46" s="378">
        <f t="shared" si="2"/>
        <v>7958.6608015558977</v>
      </c>
      <c r="F46" s="709">
        <v>7957</v>
      </c>
      <c r="G46" s="709">
        <v>21</v>
      </c>
      <c r="H46" s="378">
        <f t="shared" si="3"/>
        <v>7978</v>
      </c>
    </row>
    <row r="47" spans="1:8">
      <c r="A47" s="408">
        <v>19</v>
      </c>
      <c r="B47" s="382" t="s">
        <v>726</v>
      </c>
      <c r="C47" s="707">
        <v>58240</v>
      </c>
      <c r="D47" s="707">
        <v>0</v>
      </c>
      <c r="E47" s="378">
        <f t="shared" si="2"/>
        <v>58240</v>
      </c>
      <c r="F47" s="709">
        <v>139799.78</v>
      </c>
      <c r="G47" s="709">
        <v>0</v>
      </c>
      <c r="H47" s="378">
        <f t="shared" si="3"/>
        <v>139799.78</v>
      </c>
    </row>
    <row r="48" spans="1:8">
      <c r="A48" s="408">
        <v>19.100000000000001</v>
      </c>
      <c r="B48" s="383" t="s">
        <v>727</v>
      </c>
      <c r="C48" s="707">
        <v>0</v>
      </c>
      <c r="D48" s="707">
        <v>0</v>
      </c>
      <c r="E48" s="378">
        <f t="shared" si="2"/>
        <v>0</v>
      </c>
      <c r="F48" s="709">
        <v>26661.78</v>
      </c>
      <c r="G48" s="709">
        <v>0</v>
      </c>
      <c r="H48" s="378">
        <f t="shared" si="3"/>
        <v>26661.78</v>
      </c>
    </row>
    <row r="49" spans="1:8">
      <c r="A49" s="408">
        <v>19.2</v>
      </c>
      <c r="B49" s="384" t="s">
        <v>728</v>
      </c>
      <c r="C49" s="707">
        <v>58240</v>
      </c>
      <c r="D49" s="707">
        <v>0</v>
      </c>
      <c r="E49" s="378">
        <f t="shared" si="2"/>
        <v>58240</v>
      </c>
      <c r="F49" s="709">
        <v>113138</v>
      </c>
      <c r="G49" s="709">
        <v>0</v>
      </c>
      <c r="H49" s="378">
        <f t="shared" si="3"/>
        <v>113138</v>
      </c>
    </row>
    <row r="50" spans="1:8">
      <c r="A50" s="408">
        <v>20</v>
      </c>
      <c r="B50" s="385" t="s">
        <v>90</v>
      </c>
      <c r="C50" s="707">
        <v>0</v>
      </c>
      <c r="D50" s="707">
        <v>121963695.57439999</v>
      </c>
      <c r="E50" s="378">
        <f t="shared" si="2"/>
        <v>121963695.57439999</v>
      </c>
      <c r="F50" s="709">
        <v>0</v>
      </c>
      <c r="G50" s="709">
        <v>100375447.6059</v>
      </c>
      <c r="H50" s="378">
        <f t="shared" si="3"/>
        <v>100375447.6059</v>
      </c>
    </row>
    <row r="51" spans="1:8">
      <c r="A51" s="408">
        <v>21</v>
      </c>
      <c r="B51" s="386" t="s">
        <v>78</v>
      </c>
      <c r="C51" s="707">
        <v>2212036.7599999998</v>
      </c>
      <c r="D51" s="707">
        <v>16034985.338300003</v>
      </c>
      <c r="E51" s="378">
        <f t="shared" si="2"/>
        <v>18247022.098300003</v>
      </c>
      <c r="F51" s="709">
        <v>4026401.7878420698</v>
      </c>
      <c r="G51" s="709">
        <v>14634076.118399994</v>
      </c>
      <c r="H51" s="378">
        <f t="shared" si="3"/>
        <v>18660477.906242065</v>
      </c>
    </row>
    <row r="52" spans="1:8">
      <c r="A52" s="408">
        <v>21.1</v>
      </c>
      <c r="B52" s="381" t="s">
        <v>729</v>
      </c>
      <c r="C52" s="707">
        <v>1060412.6299999999</v>
      </c>
      <c r="D52" s="707"/>
      <c r="E52" s="378">
        <f t="shared" si="2"/>
        <v>1060412.6299999999</v>
      </c>
      <c r="F52" s="709">
        <v>1060412.6299999999</v>
      </c>
      <c r="G52" s="709"/>
      <c r="H52" s="378">
        <f t="shared" si="3"/>
        <v>1060412.6299999999</v>
      </c>
    </row>
    <row r="53" spans="1:8">
      <c r="A53" s="408">
        <v>22</v>
      </c>
      <c r="B53" s="385" t="s">
        <v>730</v>
      </c>
      <c r="C53" s="707">
        <v>14532859.955486184</v>
      </c>
      <c r="D53" s="707">
        <v>138740274.89041537</v>
      </c>
      <c r="E53" s="378">
        <f t="shared" si="2"/>
        <v>153273134.84590155</v>
      </c>
      <c r="F53" s="709">
        <v>17249389.607842069</v>
      </c>
      <c r="G53" s="709">
        <v>116474146.3106</v>
      </c>
      <c r="H53" s="378">
        <f t="shared" si="3"/>
        <v>133723535.91844207</v>
      </c>
    </row>
    <row r="54" spans="1:8" ht="24" customHeight="1">
      <c r="A54" s="408"/>
      <c r="B54" s="387" t="s">
        <v>731</v>
      </c>
      <c r="C54" s="822"/>
      <c r="D54" s="823"/>
      <c r="E54" s="823"/>
      <c r="F54" s="823"/>
      <c r="G54" s="823"/>
      <c r="H54" s="824"/>
    </row>
    <row r="55" spans="1:8">
      <c r="A55" s="408">
        <v>23</v>
      </c>
      <c r="B55" s="631" t="s">
        <v>960</v>
      </c>
      <c r="C55" s="707">
        <v>209008277</v>
      </c>
      <c r="D55" s="707"/>
      <c r="E55" s="378">
        <f>C55+D55</f>
        <v>209008277</v>
      </c>
      <c r="F55" s="707">
        <v>209008277</v>
      </c>
      <c r="G55" s="707"/>
      <c r="H55" s="378">
        <f>F55+G55</f>
        <v>209008277</v>
      </c>
    </row>
    <row r="56" spans="1:8">
      <c r="A56" s="408">
        <v>24</v>
      </c>
      <c r="B56" s="385" t="s">
        <v>732</v>
      </c>
      <c r="C56" s="707"/>
      <c r="D56" s="707"/>
      <c r="E56" s="378">
        <f t="shared" ref="E56:E69" si="4">C56+D56</f>
        <v>0</v>
      </c>
      <c r="F56" s="707"/>
      <c r="G56" s="707"/>
      <c r="H56" s="378">
        <f t="shared" ref="H56:H69" si="5">F56+G56</f>
        <v>0</v>
      </c>
    </row>
    <row r="57" spans="1:8">
      <c r="A57" s="408">
        <v>25</v>
      </c>
      <c r="B57" s="388" t="s">
        <v>91</v>
      </c>
      <c r="C57" s="707"/>
      <c r="D57" s="707"/>
      <c r="E57" s="378">
        <f t="shared" si="4"/>
        <v>0</v>
      </c>
      <c r="F57" s="707"/>
      <c r="G57" s="707"/>
      <c r="H57" s="378">
        <f t="shared" si="5"/>
        <v>0</v>
      </c>
    </row>
    <row r="58" spans="1:8">
      <c r="A58" s="408">
        <v>26</v>
      </c>
      <c r="B58" s="382" t="s">
        <v>733</v>
      </c>
      <c r="C58" s="707"/>
      <c r="D58" s="707"/>
      <c r="E58" s="378">
        <f t="shared" si="4"/>
        <v>0</v>
      </c>
      <c r="F58" s="707"/>
      <c r="G58" s="707"/>
      <c r="H58" s="378">
        <f t="shared" si="5"/>
        <v>0</v>
      </c>
    </row>
    <row r="59" spans="1:8" ht="21">
      <c r="A59" s="408">
        <v>27</v>
      </c>
      <c r="B59" s="382" t="s">
        <v>734</v>
      </c>
      <c r="C59" s="707">
        <v>0</v>
      </c>
      <c r="D59" s="707">
        <v>55386000</v>
      </c>
      <c r="E59" s="378">
        <f t="shared" si="4"/>
        <v>55386000</v>
      </c>
      <c r="F59" s="707">
        <v>0</v>
      </c>
      <c r="G59" s="707">
        <v>49978300</v>
      </c>
      <c r="H59" s="378">
        <f t="shared" si="5"/>
        <v>49978300</v>
      </c>
    </row>
    <row r="60" spans="1:8">
      <c r="A60" s="408">
        <v>27.1</v>
      </c>
      <c r="B60" s="389" t="s">
        <v>735</v>
      </c>
      <c r="C60" s="707">
        <v>0</v>
      </c>
      <c r="D60" s="707">
        <v>55386000</v>
      </c>
      <c r="E60" s="378">
        <f t="shared" si="4"/>
        <v>55386000</v>
      </c>
      <c r="F60" s="707">
        <v>0</v>
      </c>
      <c r="G60" s="707">
        <v>49978300</v>
      </c>
      <c r="H60" s="378">
        <f t="shared" si="5"/>
        <v>49978300</v>
      </c>
    </row>
    <row r="61" spans="1:8">
      <c r="A61" s="408">
        <v>27.2</v>
      </c>
      <c r="B61" s="380" t="s">
        <v>736</v>
      </c>
      <c r="C61" s="707"/>
      <c r="D61" s="707"/>
      <c r="E61" s="378">
        <f t="shared" si="4"/>
        <v>0</v>
      </c>
      <c r="F61" s="707"/>
      <c r="G61" s="707"/>
      <c r="H61" s="378">
        <f t="shared" si="5"/>
        <v>0</v>
      </c>
    </row>
    <row r="62" spans="1:8">
      <c r="A62" s="408">
        <v>28</v>
      </c>
      <c r="B62" s="386" t="s">
        <v>737</v>
      </c>
      <c r="C62" s="707"/>
      <c r="D62" s="707"/>
      <c r="E62" s="378">
        <f t="shared" si="4"/>
        <v>0</v>
      </c>
      <c r="F62" s="707"/>
      <c r="G62" s="707"/>
      <c r="H62" s="378">
        <f t="shared" si="5"/>
        <v>0</v>
      </c>
    </row>
    <row r="63" spans="1:8">
      <c r="A63" s="408">
        <v>29</v>
      </c>
      <c r="B63" s="382" t="s">
        <v>738</v>
      </c>
      <c r="C63" s="707">
        <v>12392777</v>
      </c>
      <c r="D63" s="707">
        <v>0</v>
      </c>
      <c r="E63" s="378">
        <f t="shared" si="4"/>
        <v>12392777</v>
      </c>
      <c r="F63" s="707">
        <v>11667950</v>
      </c>
      <c r="G63" s="707">
        <v>0</v>
      </c>
      <c r="H63" s="378">
        <f t="shared" si="5"/>
        <v>11667950</v>
      </c>
    </row>
    <row r="64" spans="1:8">
      <c r="A64" s="408">
        <v>29.1</v>
      </c>
      <c r="B64" s="369" t="s">
        <v>739</v>
      </c>
      <c r="C64" s="707">
        <v>12392777</v>
      </c>
      <c r="D64" s="707"/>
      <c r="E64" s="378">
        <f t="shared" si="4"/>
        <v>12392777</v>
      </c>
      <c r="F64" s="707">
        <v>11667950</v>
      </c>
      <c r="G64" s="707"/>
      <c r="H64" s="378">
        <f t="shared" si="5"/>
        <v>11667950</v>
      </c>
    </row>
    <row r="65" spans="1:8" ht="25.15" customHeight="1">
      <c r="A65" s="408">
        <v>29.2</v>
      </c>
      <c r="B65" s="389" t="s">
        <v>740</v>
      </c>
      <c r="C65" s="707"/>
      <c r="D65" s="707"/>
      <c r="E65" s="378">
        <f t="shared" si="4"/>
        <v>0</v>
      </c>
      <c r="F65" s="707"/>
      <c r="G65" s="707"/>
      <c r="H65" s="378">
        <f t="shared" si="5"/>
        <v>0</v>
      </c>
    </row>
    <row r="66" spans="1:8" ht="22.5" customHeight="1">
      <c r="A66" s="408">
        <v>29.3</v>
      </c>
      <c r="B66" s="372" t="s">
        <v>741</v>
      </c>
      <c r="C66" s="707"/>
      <c r="D66" s="707"/>
      <c r="E66" s="378">
        <f t="shared" si="4"/>
        <v>0</v>
      </c>
      <c r="F66" s="707"/>
      <c r="G66" s="707"/>
      <c r="H66" s="378">
        <f t="shared" si="5"/>
        <v>0</v>
      </c>
    </row>
    <row r="67" spans="1:8">
      <c r="A67" s="408">
        <v>30</v>
      </c>
      <c r="B67" s="368" t="s">
        <v>92</v>
      </c>
      <c r="C67" s="707">
        <v>12633441.7975633</v>
      </c>
      <c r="D67" s="707"/>
      <c r="E67" s="378">
        <f t="shared" si="4"/>
        <v>12633441.7975633</v>
      </c>
      <c r="F67" s="707">
        <v>53904064.68</v>
      </c>
      <c r="G67" s="707"/>
      <c r="H67" s="378">
        <f t="shared" si="5"/>
        <v>53904064.68</v>
      </c>
    </row>
    <row r="68" spans="1:8">
      <c r="A68" s="408">
        <v>31</v>
      </c>
      <c r="B68" s="390" t="s">
        <v>1000</v>
      </c>
      <c r="C68" s="707">
        <v>234034495.79756331</v>
      </c>
      <c r="D68" s="707">
        <v>55386000</v>
      </c>
      <c r="E68" s="378">
        <f t="shared" si="4"/>
        <v>289420495.79756331</v>
      </c>
      <c r="F68" s="707">
        <v>274580291.68000001</v>
      </c>
      <c r="G68" s="707">
        <v>49978300</v>
      </c>
      <c r="H68" s="378">
        <f t="shared" si="5"/>
        <v>324558591.68000001</v>
      </c>
    </row>
    <row r="69" spans="1:8">
      <c r="A69" s="408">
        <v>32</v>
      </c>
      <c r="B69" s="391" t="s">
        <v>743</v>
      </c>
      <c r="C69" s="377">
        <f>SUM(C53,C68)</f>
        <v>248567355.75304949</v>
      </c>
      <c r="D69" s="377">
        <f>SUM(D53,D68)</f>
        <v>194126274.89041537</v>
      </c>
      <c r="E69" s="378">
        <f t="shared" si="4"/>
        <v>442693630.64346486</v>
      </c>
      <c r="F69" s="377">
        <f>SUM(F53,F68)</f>
        <v>291829681.28784209</v>
      </c>
      <c r="G69" s="377">
        <f>SUM(G53,G68)</f>
        <v>166452446.31059998</v>
      </c>
      <c r="H69" s="378">
        <f t="shared" si="5"/>
        <v>458282127.59844208</v>
      </c>
    </row>
    <row r="70" spans="1:8">
      <c r="E70" s="712">
        <f>E69-E36</f>
        <v>4.8081278800964355E-3</v>
      </c>
      <c r="H70" s="712">
        <f>H69-H36</f>
        <v>-2.8961896896362305E-2</v>
      </c>
    </row>
    <row r="72" spans="1:8" ht="25.15" customHeight="1">
      <c r="B72" s="684" t="s">
        <v>1001</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60" zoomScaleNormal="60" workbookViewId="0">
      <selection activeCell="A7" sqref="A7"/>
    </sheetView>
  </sheetViews>
  <sheetFormatPr defaultColWidth="9.28515625" defaultRowHeight="12.75"/>
  <cols>
    <col min="1" max="1" width="11.7109375" style="459" bestFit="1" customWidth="1"/>
    <col min="2" max="2" width="93.42578125" style="459" customWidth="1"/>
    <col min="3" max="3" width="14.7109375" style="459" customWidth="1"/>
    <col min="4" max="5" width="16.140625" style="459" customWidth="1"/>
    <col min="6" max="6" width="16.140625" style="521" customWidth="1"/>
    <col min="7" max="7" width="25.28515625" style="521" customWidth="1"/>
    <col min="8" max="8" width="16.140625" style="459" customWidth="1"/>
    <col min="9" max="11" width="16.140625" style="521" customWidth="1"/>
    <col min="12" max="12" width="26.28515625" style="521" customWidth="1"/>
    <col min="13" max="16384" width="9.28515625" style="459"/>
  </cols>
  <sheetData>
    <row r="1" spans="1:12" ht="13.5">
      <c r="A1" s="339" t="s">
        <v>97</v>
      </c>
      <c r="B1" s="267" t="str">
        <f>Info!C2</f>
        <v>სს "ვითიბი ბანკი ჯორჯია"</v>
      </c>
      <c r="F1" s="459"/>
      <c r="G1" s="459"/>
      <c r="I1" s="459"/>
      <c r="J1" s="459"/>
      <c r="K1" s="459"/>
      <c r="L1" s="459"/>
    </row>
    <row r="2" spans="1:12">
      <c r="A2" s="341" t="s">
        <v>98</v>
      </c>
      <c r="B2" s="343">
        <f>'1. key ratios'!B2</f>
        <v>45930</v>
      </c>
      <c r="F2" s="459"/>
      <c r="G2" s="459"/>
      <c r="I2" s="459"/>
      <c r="J2" s="459"/>
      <c r="K2" s="459"/>
      <c r="L2" s="459"/>
    </row>
    <row r="3" spans="1:12">
      <c r="A3" s="342" t="s">
        <v>563</v>
      </c>
      <c r="F3" s="459"/>
      <c r="G3" s="459"/>
      <c r="I3" s="459"/>
      <c r="J3" s="459"/>
      <c r="K3" s="459"/>
      <c r="L3" s="459"/>
    </row>
    <row r="4" spans="1:12">
      <c r="F4" s="459"/>
      <c r="G4" s="459"/>
      <c r="I4" s="459"/>
      <c r="J4" s="459"/>
      <c r="K4" s="459"/>
      <c r="L4" s="459"/>
    </row>
    <row r="5" spans="1:12" ht="37.5" customHeight="1">
      <c r="A5" s="881" t="s">
        <v>564</v>
      </c>
      <c r="B5" s="882"/>
      <c r="C5" s="932" t="s">
        <v>565</v>
      </c>
      <c r="D5" s="933"/>
      <c r="E5" s="933"/>
      <c r="F5" s="933"/>
      <c r="G5" s="933"/>
      <c r="H5" s="934" t="s">
        <v>875</v>
      </c>
      <c r="I5" s="935"/>
      <c r="J5" s="935"/>
      <c r="K5" s="935"/>
      <c r="L5" s="936"/>
    </row>
    <row r="6" spans="1:12" ht="39.4" customHeight="1">
      <c r="A6" s="885"/>
      <c r="B6" s="886"/>
      <c r="C6" s="349"/>
      <c r="D6" s="457" t="s">
        <v>860</v>
      </c>
      <c r="E6" s="457" t="s">
        <v>859</v>
      </c>
      <c r="F6" s="457" t="s">
        <v>858</v>
      </c>
      <c r="G6" s="457" t="s">
        <v>857</v>
      </c>
      <c r="H6" s="524"/>
      <c r="I6" s="457" t="s">
        <v>860</v>
      </c>
      <c r="J6" s="457" t="s">
        <v>859</v>
      </c>
      <c r="K6" s="457" t="s">
        <v>858</v>
      </c>
      <c r="L6" s="457" t="s">
        <v>857</v>
      </c>
    </row>
    <row r="7" spans="1:12" ht="18">
      <c r="A7" s="448">
        <v>1</v>
      </c>
      <c r="B7" s="463" t="s">
        <v>487</v>
      </c>
      <c r="C7" s="789">
        <v>0</v>
      </c>
      <c r="D7" s="762">
        <v>0</v>
      </c>
      <c r="E7" s="762">
        <v>0</v>
      </c>
      <c r="F7" s="790">
        <v>0</v>
      </c>
      <c r="G7" s="790">
        <v>0</v>
      </c>
      <c r="H7" s="762">
        <v>0</v>
      </c>
      <c r="I7" s="790">
        <v>0</v>
      </c>
      <c r="J7" s="790">
        <v>0</v>
      </c>
      <c r="K7" s="790">
        <v>0</v>
      </c>
      <c r="L7" s="790">
        <v>0</v>
      </c>
    </row>
    <row r="8" spans="1:12">
      <c r="A8" s="448">
        <v>2</v>
      </c>
      <c r="B8" s="463" t="s">
        <v>488</v>
      </c>
      <c r="C8" s="789">
        <v>6262600.905301597</v>
      </c>
      <c r="D8" s="762">
        <v>5771471.3337015975</v>
      </c>
      <c r="E8" s="762">
        <v>0</v>
      </c>
      <c r="F8" s="791">
        <v>491129.57159999991</v>
      </c>
      <c r="G8" s="791"/>
      <c r="H8" s="762">
        <v>278200.4658278788</v>
      </c>
      <c r="I8" s="791">
        <v>16057.981083058705</v>
      </c>
      <c r="J8" s="791">
        <v>0</v>
      </c>
      <c r="K8" s="791">
        <v>262142.4847448201</v>
      </c>
      <c r="L8" s="791"/>
    </row>
    <row r="9" spans="1:12">
      <c r="A9" s="448">
        <v>3</v>
      </c>
      <c r="B9" s="463" t="s">
        <v>836</v>
      </c>
      <c r="C9" s="789">
        <v>0</v>
      </c>
      <c r="D9" s="762">
        <v>0</v>
      </c>
      <c r="E9" s="762">
        <v>0</v>
      </c>
      <c r="F9" s="792">
        <v>0</v>
      </c>
      <c r="G9" s="792"/>
      <c r="H9" s="762">
        <v>0</v>
      </c>
      <c r="I9" s="792">
        <v>0</v>
      </c>
      <c r="J9" s="792">
        <v>0</v>
      </c>
      <c r="K9" s="792">
        <v>0</v>
      </c>
      <c r="L9" s="792"/>
    </row>
    <row r="10" spans="1:12">
      <c r="A10" s="448">
        <v>4</v>
      </c>
      <c r="B10" s="463" t="s">
        <v>489</v>
      </c>
      <c r="C10" s="789">
        <v>678468.88320000004</v>
      </c>
      <c r="D10" s="762">
        <v>0</v>
      </c>
      <c r="E10" s="762">
        <v>0</v>
      </c>
      <c r="F10" s="792">
        <v>678468.88320000004</v>
      </c>
      <c r="G10" s="792"/>
      <c r="H10" s="762">
        <v>439465.29063120455</v>
      </c>
      <c r="I10" s="792">
        <v>0</v>
      </c>
      <c r="J10" s="792">
        <v>0</v>
      </c>
      <c r="K10" s="792">
        <v>439465.29063120455</v>
      </c>
      <c r="L10" s="792"/>
    </row>
    <row r="11" spans="1:12">
      <c r="A11" s="448">
        <v>5</v>
      </c>
      <c r="B11" s="463" t="s">
        <v>490</v>
      </c>
      <c r="C11" s="789">
        <v>4768020.7917160001</v>
      </c>
      <c r="D11" s="762">
        <v>4051559.8236999996</v>
      </c>
      <c r="E11" s="762">
        <v>0</v>
      </c>
      <c r="F11" s="792">
        <v>716460.968016</v>
      </c>
      <c r="G11" s="792"/>
      <c r="H11" s="762">
        <v>263695.60170478799</v>
      </c>
      <c r="I11" s="792">
        <v>1889.1427810097505</v>
      </c>
      <c r="J11" s="792">
        <v>0</v>
      </c>
      <c r="K11" s="792">
        <v>261806.45892377826</v>
      </c>
      <c r="L11" s="792"/>
    </row>
    <row r="12" spans="1:12">
      <c r="A12" s="448">
        <v>6</v>
      </c>
      <c r="B12" s="463" t="s">
        <v>491</v>
      </c>
      <c r="C12" s="789">
        <v>0</v>
      </c>
      <c r="D12" s="762">
        <v>0</v>
      </c>
      <c r="E12" s="762">
        <v>0</v>
      </c>
      <c r="F12" s="792">
        <v>0</v>
      </c>
      <c r="G12" s="792"/>
      <c r="H12" s="762">
        <v>0</v>
      </c>
      <c r="I12" s="792">
        <v>0</v>
      </c>
      <c r="J12" s="792">
        <v>0</v>
      </c>
      <c r="K12" s="792">
        <v>0</v>
      </c>
      <c r="L12" s="792"/>
    </row>
    <row r="13" spans="1:12">
      <c r="A13" s="448">
        <v>7</v>
      </c>
      <c r="B13" s="463" t="s">
        <v>492</v>
      </c>
      <c r="C13" s="789">
        <v>0</v>
      </c>
      <c r="D13" s="762">
        <v>0</v>
      </c>
      <c r="E13" s="762">
        <v>0</v>
      </c>
      <c r="F13" s="792">
        <v>0</v>
      </c>
      <c r="G13" s="792"/>
      <c r="H13" s="762">
        <v>0</v>
      </c>
      <c r="I13" s="792">
        <v>0</v>
      </c>
      <c r="J13" s="792">
        <v>0</v>
      </c>
      <c r="K13" s="792">
        <v>0</v>
      </c>
      <c r="L13" s="792"/>
    </row>
    <row r="14" spans="1:12">
      <c r="A14" s="448">
        <v>8</v>
      </c>
      <c r="B14" s="463" t="s">
        <v>493</v>
      </c>
      <c r="C14" s="789">
        <v>40578622.276942678</v>
      </c>
      <c r="D14" s="762">
        <v>7784795.8252940001</v>
      </c>
      <c r="E14" s="762">
        <v>0</v>
      </c>
      <c r="F14" s="792">
        <v>32793826.451648675</v>
      </c>
      <c r="G14" s="792"/>
      <c r="H14" s="762">
        <v>8532224.0964744277</v>
      </c>
      <c r="I14" s="792">
        <v>5022.8883779875096</v>
      </c>
      <c r="J14" s="792">
        <v>0</v>
      </c>
      <c r="K14" s="792">
        <v>8527201.2080964409</v>
      </c>
      <c r="L14" s="792"/>
    </row>
    <row r="15" spans="1:12">
      <c r="A15" s="448">
        <v>9</v>
      </c>
      <c r="B15" s="463" t="s">
        <v>494</v>
      </c>
      <c r="C15" s="789">
        <v>24813613.250611998</v>
      </c>
      <c r="D15" s="762">
        <v>83142.069999999992</v>
      </c>
      <c r="E15" s="762">
        <v>3048012.3118119999</v>
      </c>
      <c r="F15" s="792">
        <v>21682458.868799999</v>
      </c>
      <c r="G15" s="792"/>
      <c r="H15" s="762">
        <v>4947437.4849611558</v>
      </c>
      <c r="I15" s="792">
        <v>18.722479003674401</v>
      </c>
      <c r="J15" s="792">
        <v>609602.46236240002</v>
      </c>
      <c r="K15" s="792">
        <v>4337816.3001197521</v>
      </c>
      <c r="L15" s="792"/>
    </row>
    <row r="16" spans="1:12">
      <c r="A16" s="448">
        <v>10</v>
      </c>
      <c r="B16" s="463" t="s">
        <v>495</v>
      </c>
      <c r="C16" s="789">
        <v>7899.9</v>
      </c>
      <c r="D16" s="762">
        <v>0</v>
      </c>
      <c r="E16" s="762">
        <v>0</v>
      </c>
      <c r="F16" s="792">
        <v>7899.9</v>
      </c>
      <c r="G16" s="792"/>
      <c r="H16" s="762">
        <v>7899.9</v>
      </c>
      <c r="I16" s="792">
        <v>0</v>
      </c>
      <c r="J16" s="792">
        <v>0</v>
      </c>
      <c r="K16" s="792">
        <v>7899.9</v>
      </c>
      <c r="L16" s="792"/>
    </row>
    <row r="17" spans="1:12">
      <c r="A17" s="448">
        <v>11</v>
      </c>
      <c r="B17" s="463" t="s">
        <v>496</v>
      </c>
      <c r="C17" s="789">
        <v>0</v>
      </c>
      <c r="D17" s="762">
        <v>0</v>
      </c>
      <c r="E17" s="762">
        <v>0</v>
      </c>
      <c r="F17" s="792">
        <v>0</v>
      </c>
      <c r="G17" s="792"/>
      <c r="H17" s="762">
        <v>0</v>
      </c>
      <c r="I17" s="792">
        <v>0</v>
      </c>
      <c r="J17" s="792">
        <v>0</v>
      </c>
      <c r="K17" s="792">
        <v>0</v>
      </c>
      <c r="L17" s="792"/>
    </row>
    <row r="18" spans="1:12">
      <c r="A18" s="448">
        <v>12</v>
      </c>
      <c r="B18" s="463" t="s">
        <v>497</v>
      </c>
      <c r="C18" s="789">
        <v>841931.07</v>
      </c>
      <c r="D18" s="762">
        <v>0</v>
      </c>
      <c r="E18" s="762">
        <v>0</v>
      </c>
      <c r="F18" s="792">
        <v>841931.07</v>
      </c>
      <c r="G18" s="792"/>
      <c r="H18" s="762">
        <v>841931.07</v>
      </c>
      <c r="I18" s="792">
        <v>0</v>
      </c>
      <c r="J18" s="792">
        <v>0</v>
      </c>
      <c r="K18" s="792">
        <v>841931.07</v>
      </c>
      <c r="L18" s="792"/>
    </row>
    <row r="19" spans="1:12">
      <c r="A19" s="448">
        <v>13</v>
      </c>
      <c r="B19" s="463" t="s">
        <v>498</v>
      </c>
      <c r="C19" s="789">
        <v>4268893.4656834239</v>
      </c>
      <c r="D19" s="762">
        <v>0</v>
      </c>
      <c r="E19" s="762">
        <v>4268893.4656834239</v>
      </c>
      <c r="F19" s="792">
        <v>0</v>
      </c>
      <c r="G19" s="792"/>
      <c r="H19" s="762">
        <v>426809.41703704966</v>
      </c>
      <c r="I19" s="792">
        <v>0</v>
      </c>
      <c r="J19" s="792">
        <v>426809.41703704966</v>
      </c>
      <c r="K19" s="792">
        <v>0</v>
      </c>
      <c r="L19" s="792"/>
    </row>
    <row r="20" spans="1:12">
      <c r="A20" s="448">
        <v>14</v>
      </c>
      <c r="B20" s="463" t="s">
        <v>499</v>
      </c>
      <c r="C20" s="789">
        <v>39407573.43029891</v>
      </c>
      <c r="D20" s="762">
        <v>21244441.558704004</v>
      </c>
      <c r="E20" s="762">
        <v>4791333.28</v>
      </c>
      <c r="F20" s="792">
        <v>13371798.591594901</v>
      </c>
      <c r="G20" s="792"/>
      <c r="H20" s="762">
        <v>5000746.0730229262</v>
      </c>
      <c r="I20" s="792">
        <v>293956.64808667853</v>
      </c>
      <c r="J20" s="792">
        <v>1837358.7076489956</v>
      </c>
      <c r="K20" s="792">
        <v>2869430.7172872517</v>
      </c>
      <c r="L20" s="792"/>
    </row>
    <row r="21" spans="1:12">
      <c r="A21" s="448">
        <v>15</v>
      </c>
      <c r="B21" s="463" t="s">
        <v>500</v>
      </c>
      <c r="C21" s="789">
        <v>0</v>
      </c>
      <c r="D21" s="762">
        <v>0</v>
      </c>
      <c r="E21" s="762">
        <v>0</v>
      </c>
      <c r="F21" s="792">
        <v>0</v>
      </c>
      <c r="G21" s="792"/>
      <c r="H21" s="762">
        <v>0</v>
      </c>
      <c r="I21" s="792">
        <v>0</v>
      </c>
      <c r="J21" s="792">
        <v>0</v>
      </c>
      <c r="K21" s="792">
        <v>0</v>
      </c>
      <c r="L21" s="792"/>
    </row>
    <row r="22" spans="1:12">
      <c r="A22" s="448">
        <v>16</v>
      </c>
      <c r="B22" s="463" t="s">
        <v>501</v>
      </c>
      <c r="C22" s="789">
        <v>0</v>
      </c>
      <c r="D22" s="762">
        <v>0</v>
      </c>
      <c r="E22" s="762">
        <v>0</v>
      </c>
      <c r="F22" s="792">
        <v>0</v>
      </c>
      <c r="G22" s="792"/>
      <c r="H22" s="762">
        <v>0</v>
      </c>
      <c r="I22" s="792">
        <v>0</v>
      </c>
      <c r="J22" s="792">
        <v>0</v>
      </c>
      <c r="K22" s="792">
        <v>0</v>
      </c>
      <c r="L22" s="792"/>
    </row>
    <row r="23" spans="1:12">
      <c r="A23" s="448">
        <v>17</v>
      </c>
      <c r="B23" s="463" t="s">
        <v>502</v>
      </c>
      <c r="C23" s="789">
        <v>17374039.172346447</v>
      </c>
      <c r="D23" s="762">
        <v>0</v>
      </c>
      <c r="E23" s="762">
        <v>13151897.623546448</v>
      </c>
      <c r="F23" s="792">
        <v>4222141.5488</v>
      </c>
      <c r="G23" s="792"/>
      <c r="H23" s="762">
        <v>2200189.6000786722</v>
      </c>
      <c r="I23" s="792">
        <v>0</v>
      </c>
      <c r="J23" s="792">
        <v>79863.231870627686</v>
      </c>
      <c r="K23" s="792">
        <v>2120326.3682080447</v>
      </c>
      <c r="L23" s="792"/>
    </row>
    <row r="24" spans="1:12">
      <c r="A24" s="448">
        <v>18</v>
      </c>
      <c r="B24" s="463" t="s">
        <v>503</v>
      </c>
      <c r="C24" s="789">
        <v>0</v>
      </c>
      <c r="D24" s="762">
        <v>0</v>
      </c>
      <c r="E24" s="762">
        <v>0</v>
      </c>
      <c r="F24" s="792">
        <v>0</v>
      </c>
      <c r="G24" s="792"/>
      <c r="H24" s="762">
        <v>0</v>
      </c>
      <c r="I24" s="792">
        <v>0</v>
      </c>
      <c r="J24" s="792">
        <v>0</v>
      </c>
      <c r="K24" s="792">
        <v>0</v>
      </c>
      <c r="L24" s="792"/>
    </row>
    <row r="25" spans="1:12">
      <c r="A25" s="448">
        <v>19</v>
      </c>
      <c r="B25" s="463" t="s">
        <v>504</v>
      </c>
      <c r="C25" s="789">
        <v>0</v>
      </c>
      <c r="D25" s="762">
        <v>0</v>
      </c>
      <c r="E25" s="762">
        <v>0</v>
      </c>
      <c r="F25" s="792">
        <v>0</v>
      </c>
      <c r="G25" s="792"/>
      <c r="H25" s="762">
        <v>0</v>
      </c>
      <c r="I25" s="792">
        <v>0</v>
      </c>
      <c r="J25" s="792">
        <v>0</v>
      </c>
      <c r="K25" s="792">
        <v>0</v>
      </c>
      <c r="L25" s="792"/>
    </row>
    <row r="26" spans="1:12">
      <c r="A26" s="448">
        <v>20</v>
      </c>
      <c r="B26" s="463" t="s">
        <v>505</v>
      </c>
      <c r="C26" s="789">
        <v>5421215.7500000009</v>
      </c>
      <c r="D26" s="762">
        <v>5421215.7500000009</v>
      </c>
      <c r="E26" s="762">
        <v>0</v>
      </c>
      <c r="F26" s="792">
        <v>0</v>
      </c>
      <c r="G26" s="792"/>
      <c r="H26" s="762">
        <v>4496.4102567016644</v>
      </c>
      <c r="I26" s="792">
        <v>4496.4102567016644</v>
      </c>
      <c r="J26" s="792">
        <v>0</v>
      </c>
      <c r="K26" s="792">
        <v>0</v>
      </c>
      <c r="L26" s="792"/>
    </row>
    <row r="27" spans="1:12">
      <c r="A27" s="448">
        <v>21</v>
      </c>
      <c r="B27" s="463" t="s">
        <v>506</v>
      </c>
      <c r="C27" s="789">
        <v>0</v>
      </c>
      <c r="D27" s="762">
        <v>0</v>
      </c>
      <c r="E27" s="762">
        <v>0</v>
      </c>
      <c r="F27" s="792">
        <v>0</v>
      </c>
      <c r="G27" s="792"/>
      <c r="H27" s="762">
        <v>0</v>
      </c>
      <c r="I27" s="792">
        <v>0</v>
      </c>
      <c r="J27" s="792">
        <v>0</v>
      </c>
      <c r="K27" s="792">
        <v>0</v>
      </c>
      <c r="L27" s="792"/>
    </row>
    <row r="28" spans="1:12">
      <c r="A28" s="448">
        <v>22</v>
      </c>
      <c r="B28" s="463" t="s">
        <v>507</v>
      </c>
      <c r="C28" s="789">
        <v>0</v>
      </c>
      <c r="D28" s="762">
        <v>0</v>
      </c>
      <c r="E28" s="762">
        <v>0</v>
      </c>
      <c r="F28" s="792">
        <v>0</v>
      </c>
      <c r="G28" s="792"/>
      <c r="H28" s="762">
        <v>0</v>
      </c>
      <c r="I28" s="792">
        <v>0</v>
      </c>
      <c r="J28" s="792">
        <v>0</v>
      </c>
      <c r="K28" s="792">
        <v>0</v>
      </c>
      <c r="L28" s="792"/>
    </row>
    <row r="29" spans="1:12">
      <c r="A29" s="448">
        <v>23</v>
      </c>
      <c r="B29" s="463" t="s">
        <v>508</v>
      </c>
      <c r="C29" s="789">
        <v>11053264.316293031</v>
      </c>
      <c r="D29" s="762">
        <v>1595403.1431</v>
      </c>
      <c r="E29" s="762">
        <v>0</v>
      </c>
      <c r="F29" s="792">
        <v>9457861.1731930301</v>
      </c>
      <c r="G29" s="792"/>
      <c r="H29" s="762">
        <v>2940151.4422675529</v>
      </c>
      <c r="I29" s="792">
        <v>12163.4517757843</v>
      </c>
      <c r="J29" s="792">
        <v>0</v>
      </c>
      <c r="K29" s="792">
        <v>2927987.9904917688</v>
      </c>
      <c r="L29" s="792"/>
    </row>
    <row r="30" spans="1:12">
      <c r="A30" s="448">
        <v>24</v>
      </c>
      <c r="B30" s="463" t="s">
        <v>509</v>
      </c>
      <c r="C30" s="789">
        <v>3834642.3331500003</v>
      </c>
      <c r="D30" s="762">
        <v>1923549.1377000003</v>
      </c>
      <c r="E30" s="762">
        <v>0</v>
      </c>
      <c r="F30" s="792">
        <v>1911093.1954500002</v>
      </c>
      <c r="G30" s="792"/>
      <c r="H30" s="762">
        <v>347555.41410848103</v>
      </c>
      <c r="I30" s="792">
        <v>5088.2139256214969</v>
      </c>
      <c r="J30" s="792">
        <v>0</v>
      </c>
      <c r="K30" s="792">
        <v>342467.20018285955</v>
      </c>
      <c r="L30" s="792"/>
    </row>
    <row r="31" spans="1:12">
      <c r="A31" s="448">
        <v>25</v>
      </c>
      <c r="B31" s="463" t="s">
        <v>510</v>
      </c>
      <c r="C31" s="789">
        <v>0</v>
      </c>
      <c r="D31" s="762">
        <v>0</v>
      </c>
      <c r="E31" s="762">
        <v>0</v>
      </c>
      <c r="F31" s="792">
        <v>0</v>
      </c>
      <c r="G31" s="792"/>
      <c r="H31" s="762">
        <v>0</v>
      </c>
      <c r="I31" s="792">
        <v>0</v>
      </c>
      <c r="J31" s="792">
        <v>0</v>
      </c>
      <c r="K31" s="792">
        <v>0</v>
      </c>
      <c r="L31" s="792"/>
    </row>
    <row r="32" spans="1:12">
      <c r="A32" s="448">
        <v>26</v>
      </c>
      <c r="B32" s="463" t="s">
        <v>566</v>
      </c>
      <c r="C32" s="789">
        <v>958973.2162380002</v>
      </c>
      <c r="D32" s="762">
        <v>783890.25256800011</v>
      </c>
      <c r="E32" s="762">
        <v>0</v>
      </c>
      <c r="F32" s="792">
        <v>175082.96367000003</v>
      </c>
      <c r="G32" s="792"/>
      <c r="H32" s="762">
        <v>78670.630254151984</v>
      </c>
      <c r="I32" s="792">
        <v>3726.3357363663004</v>
      </c>
      <c r="J32" s="792">
        <v>0</v>
      </c>
      <c r="K32" s="792">
        <v>74944.294517785689</v>
      </c>
      <c r="L32" s="792"/>
    </row>
    <row r="33" spans="1:12">
      <c r="A33" s="448">
        <v>27</v>
      </c>
      <c r="B33" s="523" t="s">
        <v>66</v>
      </c>
      <c r="C33" s="793">
        <v>160269758.76178208</v>
      </c>
      <c r="D33" s="762">
        <v>48659468.894767605</v>
      </c>
      <c r="E33" s="762">
        <v>25260136.68104187</v>
      </c>
      <c r="F33" s="792">
        <v>86350153.185972601</v>
      </c>
      <c r="G33" s="792">
        <v>0</v>
      </c>
      <c r="H33" s="763">
        <v>26309472.896624994</v>
      </c>
      <c r="I33" s="792">
        <v>342419.79450221185</v>
      </c>
      <c r="J33" s="792">
        <v>2953633.8189190729</v>
      </c>
      <c r="K33" s="792">
        <v>23013419.283203706</v>
      </c>
      <c r="L33" s="792">
        <v>0</v>
      </c>
    </row>
    <row r="34" spans="1:12">
      <c r="A34" s="478"/>
      <c r="B34" s="478"/>
      <c r="C34" s="787">
        <f>C33-'23. LTV'!C8</f>
        <v>0</v>
      </c>
      <c r="D34" s="787">
        <f>D33-'22. Quality'!D8</f>
        <v>0</v>
      </c>
      <c r="E34" s="787">
        <f>E33-'22. Quality'!H8</f>
        <v>0.2799999974668026</v>
      </c>
      <c r="F34" s="788">
        <f>F33-'22. Quality'!L8</f>
        <v>0</v>
      </c>
      <c r="H34" s="478"/>
    </row>
    <row r="35" spans="1:12">
      <c r="A35" s="478"/>
      <c r="B35" s="522"/>
      <c r="C35" s="522"/>
      <c r="D35" s="478"/>
      <c r="E35" s="478"/>
      <c r="H35" s="478"/>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60" zoomScaleNormal="60" workbookViewId="0">
      <selection activeCell="C6" sqref="C6:K10"/>
    </sheetView>
  </sheetViews>
  <sheetFormatPr defaultColWidth="8.7109375" defaultRowHeight="12"/>
  <cols>
    <col min="1" max="1" width="11.7109375" style="350" bestFit="1" customWidth="1"/>
    <col min="2" max="2" width="50.28515625" style="350" customWidth="1"/>
    <col min="3" max="11" width="28.28515625" style="350" customWidth="1"/>
    <col min="12" max="16384" width="8.7109375" style="350"/>
  </cols>
  <sheetData>
    <row r="1" spans="1:11" s="340" customFormat="1" ht="13.5">
      <c r="A1" s="339" t="s">
        <v>97</v>
      </c>
      <c r="B1" s="267" t="str">
        <f>Info!C2</f>
        <v>სს "ვითიბი ბანკი ჯორჯია"</v>
      </c>
      <c r="C1" s="459"/>
      <c r="D1" s="459"/>
      <c r="E1" s="459"/>
      <c r="F1" s="459"/>
      <c r="G1" s="459"/>
      <c r="H1" s="459"/>
      <c r="I1" s="459"/>
      <c r="J1" s="459"/>
      <c r="K1" s="459"/>
    </row>
    <row r="2" spans="1:11" s="340" customFormat="1" ht="12.75">
      <c r="A2" s="341" t="s">
        <v>98</v>
      </c>
      <c r="B2" s="343">
        <f>'1. key ratios'!B2</f>
        <v>45930</v>
      </c>
      <c r="C2" s="459"/>
      <c r="D2" s="459"/>
      <c r="E2" s="459"/>
      <c r="F2" s="459"/>
      <c r="G2" s="459"/>
      <c r="H2" s="459"/>
      <c r="I2" s="459"/>
      <c r="J2" s="459"/>
      <c r="K2" s="459"/>
    </row>
    <row r="3" spans="1:11" s="340" customFormat="1" ht="12.75">
      <c r="A3" s="342" t="s">
        <v>567</v>
      </c>
      <c r="B3" s="459"/>
      <c r="C3" s="459"/>
      <c r="D3" s="459"/>
      <c r="E3" s="459"/>
      <c r="F3" s="459"/>
      <c r="G3" s="459"/>
      <c r="H3" s="459"/>
      <c r="I3" s="459"/>
      <c r="J3" s="459"/>
      <c r="K3" s="459"/>
    </row>
    <row r="4" spans="1:11">
      <c r="A4" s="529"/>
      <c r="B4" s="529"/>
      <c r="C4" s="528" t="s">
        <v>471</v>
      </c>
      <c r="D4" s="528" t="s">
        <v>472</v>
      </c>
      <c r="E4" s="528" t="s">
        <v>473</v>
      </c>
      <c r="F4" s="528" t="s">
        <v>474</v>
      </c>
      <c r="G4" s="528" t="s">
        <v>475</v>
      </c>
      <c r="H4" s="528" t="s">
        <v>476</v>
      </c>
      <c r="I4" s="528" t="s">
        <v>477</v>
      </c>
      <c r="J4" s="528" t="s">
        <v>478</v>
      </c>
      <c r="K4" s="528" t="s">
        <v>479</v>
      </c>
    </row>
    <row r="5" spans="1:11" ht="103.9" customHeight="1">
      <c r="A5" s="937" t="s">
        <v>874</v>
      </c>
      <c r="B5" s="938"/>
      <c r="C5" s="527" t="s">
        <v>568</v>
      </c>
      <c r="D5" s="527" t="s">
        <v>561</v>
      </c>
      <c r="E5" s="527" t="s">
        <v>562</v>
      </c>
      <c r="F5" s="527" t="s">
        <v>873</v>
      </c>
      <c r="G5" s="527" t="s">
        <v>569</v>
      </c>
      <c r="H5" s="527" t="s">
        <v>570</v>
      </c>
      <c r="I5" s="527" t="s">
        <v>571</v>
      </c>
      <c r="J5" s="527" t="s">
        <v>572</v>
      </c>
      <c r="K5" s="527" t="s">
        <v>573</v>
      </c>
    </row>
    <row r="6" spans="1:11" ht="12.75">
      <c r="A6" s="448">
        <v>1</v>
      </c>
      <c r="B6" s="448" t="s">
        <v>574</v>
      </c>
      <c r="C6" s="768">
        <v>128923.58542999999</v>
      </c>
      <c r="D6" s="768">
        <v>44648.72</v>
      </c>
      <c r="E6" s="768">
        <v>0</v>
      </c>
      <c r="F6" s="768">
        <v>0</v>
      </c>
      <c r="G6" s="768">
        <v>130052891.94960901</v>
      </c>
      <c r="H6" s="768">
        <v>4442060.7173486724</v>
      </c>
      <c r="I6" s="768">
        <v>5169000.5814504465</v>
      </c>
      <c r="J6" s="768">
        <v>3394641.9630000005</v>
      </c>
      <c r="K6" s="768">
        <v>17037591.244943995</v>
      </c>
    </row>
    <row r="7" spans="1:11" ht="12.75">
      <c r="A7" s="448">
        <v>2</v>
      </c>
      <c r="B7" s="449" t="s">
        <v>575</v>
      </c>
      <c r="C7" s="768"/>
      <c r="D7" s="768"/>
      <c r="E7" s="768"/>
      <c r="F7" s="768"/>
      <c r="G7" s="768"/>
      <c r="H7" s="768"/>
      <c r="I7" s="768"/>
      <c r="J7" s="768"/>
      <c r="K7" s="768"/>
    </row>
    <row r="8" spans="1:11" ht="12.75">
      <c r="A8" s="448">
        <v>3</v>
      </c>
      <c r="B8" s="449" t="s">
        <v>539</v>
      </c>
      <c r="C8" s="768">
        <v>30000</v>
      </c>
      <c r="D8" s="768">
        <v>0</v>
      </c>
      <c r="E8" s="768">
        <v>0</v>
      </c>
      <c r="F8" s="768">
        <v>0</v>
      </c>
      <c r="G8" s="768">
        <v>47753.851799999997</v>
      </c>
      <c r="H8" s="768">
        <v>0</v>
      </c>
      <c r="I8" s="768">
        <v>0</v>
      </c>
      <c r="J8" s="768">
        <v>0</v>
      </c>
      <c r="K8" s="768">
        <v>122246.1482</v>
      </c>
    </row>
    <row r="9" spans="1:11" ht="12.75">
      <c r="A9" s="448">
        <v>4</v>
      </c>
      <c r="B9" s="480" t="s">
        <v>872</v>
      </c>
      <c r="C9" s="794">
        <v>128923.58542999999</v>
      </c>
      <c r="D9" s="794">
        <v>0</v>
      </c>
      <c r="E9" s="794">
        <v>0</v>
      </c>
      <c r="F9" s="794">
        <v>0</v>
      </c>
      <c r="G9" s="794">
        <v>76458056.617293924</v>
      </c>
      <c r="H9" s="794">
        <v>4255687.4373486722</v>
      </c>
      <c r="I9" s="794">
        <v>3045022.5142999995</v>
      </c>
      <c r="J9" s="794">
        <v>1708289.6320000002</v>
      </c>
      <c r="K9" s="794">
        <v>754173.3996</v>
      </c>
    </row>
    <row r="10" spans="1:11" ht="12.75">
      <c r="A10" s="448">
        <v>5</v>
      </c>
      <c r="B10" s="469" t="s">
        <v>871</v>
      </c>
      <c r="C10" s="794"/>
      <c r="D10" s="794"/>
      <c r="E10" s="794"/>
      <c r="F10" s="794"/>
      <c r="G10" s="794"/>
      <c r="H10" s="794"/>
      <c r="I10" s="794"/>
      <c r="J10" s="794"/>
      <c r="K10" s="794"/>
    </row>
    <row r="11" spans="1:11" ht="12.75">
      <c r="A11" s="448">
        <v>6</v>
      </c>
      <c r="B11" s="469" t="s">
        <v>870</v>
      </c>
      <c r="C11" s="526"/>
      <c r="D11" s="526"/>
      <c r="E11" s="526"/>
      <c r="F11" s="526"/>
      <c r="G11" s="526"/>
      <c r="H11" s="526"/>
      <c r="I11" s="526"/>
      <c r="J11" s="526"/>
      <c r="K11" s="526"/>
    </row>
    <row r="13" spans="1:11" ht="15">
      <c r="B13" s="525"/>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7"/>
  <sheetViews>
    <sheetView showGridLines="0" zoomScale="110" zoomScaleNormal="110" workbookViewId="0">
      <selection activeCell="C22" sqref="C22:E27"/>
    </sheetView>
  </sheetViews>
  <sheetFormatPr defaultColWidth="8.7109375" defaultRowHeight="15"/>
  <cols>
    <col min="1" max="1" width="10" style="530" bestFit="1" customWidth="1"/>
    <col min="2" max="2" width="71.7109375" style="530" customWidth="1"/>
    <col min="3" max="3" width="13.85546875" style="530" bestFit="1" customWidth="1"/>
    <col min="4" max="5" width="15.28515625" style="530" bestFit="1" customWidth="1"/>
    <col min="6" max="6" width="20" style="530" bestFit="1" customWidth="1"/>
    <col min="7" max="7" width="30.85546875" style="530" customWidth="1"/>
    <col min="8" max="8" width="10.7109375" style="530" bestFit="1" customWidth="1"/>
    <col min="9" max="10" width="15.28515625" style="530" bestFit="1" customWidth="1"/>
    <col min="11" max="11" width="20" style="530" bestFit="1" customWidth="1"/>
    <col min="12" max="12" width="37.7109375" style="530" bestFit="1" customWidth="1"/>
    <col min="13" max="13" width="10.7109375" style="530" bestFit="1" customWidth="1"/>
    <col min="14" max="15" width="15.28515625" style="530" bestFit="1" customWidth="1"/>
    <col min="16" max="16" width="20" style="530" bestFit="1" customWidth="1"/>
    <col min="17" max="17" width="37.7109375" style="530" bestFit="1" customWidth="1"/>
    <col min="18" max="18" width="18" style="530" bestFit="1" customWidth="1"/>
    <col min="19" max="19" width="48" style="530" bestFit="1" customWidth="1"/>
    <col min="20" max="20" width="45.7109375" style="530" bestFit="1" customWidth="1"/>
    <col min="21" max="21" width="48" style="530" bestFit="1" customWidth="1"/>
    <col min="22" max="22" width="44.28515625" style="530" bestFit="1" customWidth="1"/>
    <col min="23" max="16384" width="8.7109375" style="530"/>
  </cols>
  <sheetData>
    <row r="1" spans="1:22">
      <c r="A1" s="339" t="s">
        <v>97</v>
      </c>
      <c r="B1" s="267" t="str">
        <f>Info!C2</f>
        <v>სს "ვითიბი ბანკი ჯორჯია"</v>
      </c>
    </row>
    <row r="2" spans="1:22">
      <c r="A2" s="341" t="s">
        <v>98</v>
      </c>
      <c r="B2" s="343">
        <f>'1. key ratios'!B2</f>
        <v>45930</v>
      </c>
    </row>
    <row r="3" spans="1:22">
      <c r="A3" s="342" t="s">
        <v>657</v>
      </c>
      <c r="B3" s="459"/>
    </row>
    <row r="4" spans="1:22">
      <c r="A4" s="342"/>
      <c r="B4" s="459"/>
    </row>
    <row r="5" spans="1:22" ht="24" customHeight="1">
      <c r="A5" s="939" t="s">
        <v>684</v>
      </c>
      <c r="B5" s="939"/>
      <c r="C5" s="941" t="s">
        <v>876</v>
      </c>
      <c r="D5" s="941"/>
      <c r="E5" s="941"/>
      <c r="F5" s="941"/>
      <c r="G5" s="941"/>
      <c r="H5" s="941" t="s">
        <v>565</v>
      </c>
      <c r="I5" s="941"/>
      <c r="J5" s="941"/>
      <c r="K5" s="941"/>
      <c r="L5" s="941"/>
      <c r="M5" s="941" t="s">
        <v>875</v>
      </c>
      <c r="N5" s="941"/>
      <c r="O5" s="941"/>
      <c r="P5" s="941"/>
      <c r="Q5" s="941"/>
      <c r="R5" s="940" t="s">
        <v>683</v>
      </c>
      <c r="S5" s="940" t="s">
        <v>687</v>
      </c>
      <c r="T5" s="940" t="s">
        <v>686</v>
      </c>
      <c r="U5" s="940" t="s">
        <v>915</v>
      </c>
      <c r="V5" s="940" t="s">
        <v>916</v>
      </c>
    </row>
    <row r="6" spans="1:22" ht="36" customHeight="1">
      <c r="A6" s="939"/>
      <c r="B6" s="939"/>
      <c r="C6" s="540"/>
      <c r="D6" s="457" t="s">
        <v>860</v>
      </c>
      <c r="E6" s="457" t="s">
        <v>859</v>
      </c>
      <c r="F6" s="457" t="s">
        <v>858</v>
      </c>
      <c r="G6" s="457" t="s">
        <v>857</v>
      </c>
      <c r="H6" s="540"/>
      <c r="I6" s="457" t="s">
        <v>860</v>
      </c>
      <c r="J6" s="457" t="s">
        <v>859</v>
      </c>
      <c r="K6" s="457" t="s">
        <v>858</v>
      </c>
      <c r="L6" s="457" t="s">
        <v>857</v>
      </c>
      <c r="M6" s="540"/>
      <c r="N6" s="457" t="s">
        <v>860</v>
      </c>
      <c r="O6" s="457" t="s">
        <v>859</v>
      </c>
      <c r="P6" s="457" t="s">
        <v>858</v>
      </c>
      <c r="Q6" s="457" t="s">
        <v>857</v>
      </c>
      <c r="R6" s="940"/>
      <c r="S6" s="940"/>
      <c r="T6" s="940"/>
      <c r="U6" s="940"/>
      <c r="V6" s="940"/>
    </row>
    <row r="7" spans="1:22">
      <c r="A7" s="538">
        <v>1</v>
      </c>
      <c r="B7" s="539" t="s">
        <v>658</v>
      </c>
      <c r="C7" s="795">
        <v>85830.115804000001</v>
      </c>
      <c r="D7" s="795">
        <v>85830.115804000001</v>
      </c>
      <c r="E7" s="795">
        <v>0</v>
      </c>
      <c r="F7" s="795">
        <v>0</v>
      </c>
      <c r="G7" s="795"/>
      <c r="H7" s="795">
        <v>87594.763604000007</v>
      </c>
      <c r="I7" s="795">
        <v>87594.763604000007</v>
      </c>
      <c r="J7" s="795">
        <v>0</v>
      </c>
      <c r="K7" s="795">
        <v>0</v>
      </c>
      <c r="L7" s="795"/>
      <c r="M7" s="795">
        <v>2638.3875150363001</v>
      </c>
      <c r="N7" s="795">
        <v>2638.3875150363001</v>
      </c>
      <c r="O7" s="795">
        <v>0</v>
      </c>
      <c r="P7" s="795">
        <v>0</v>
      </c>
      <c r="Q7" s="795"/>
      <c r="R7" s="795">
        <v>1</v>
      </c>
      <c r="S7" s="795">
        <v>0</v>
      </c>
      <c r="T7" s="795">
        <v>0</v>
      </c>
      <c r="U7" s="795">
        <v>6.0062337697087791E-2</v>
      </c>
      <c r="V7" s="795">
        <v>30.636662322254256</v>
      </c>
    </row>
    <row r="8" spans="1:22">
      <c r="A8" s="538">
        <v>2</v>
      </c>
      <c r="B8" s="537" t="s">
        <v>659</v>
      </c>
      <c r="C8" s="795">
        <v>228110.59443999999</v>
      </c>
      <c r="D8" s="795">
        <v>44601.524839999998</v>
      </c>
      <c r="E8" s="795">
        <v>0</v>
      </c>
      <c r="F8" s="795">
        <v>183509.06959999999</v>
      </c>
      <c r="G8" s="795"/>
      <c r="H8" s="795">
        <v>300720.45444</v>
      </c>
      <c r="I8" s="795">
        <v>50006.694839999996</v>
      </c>
      <c r="J8" s="795">
        <v>0</v>
      </c>
      <c r="K8" s="795">
        <v>250713.75959999999</v>
      </c>
      <c r="L8" s="795"/>
      <c r="M8" s="795">
        <v>238274.20494373719</v>
      </c>
      <c r="N8" s="795">
        <v>963.44157034570003</v>
      </c>
      <c r="O8" s="795">
        <v>0</v>
      </c>
      <c r="P8" s="795">
        <v>237310.7633733915</v>
      </c>
      <c r="Q8" s="795"/>
      <c r="R8" s="795">
        <v>43</v>
      </c>
      <c r="S8" s="795">
        <v>0.15</v>
      </c>
      <c r="T8" s="795">
        <v>0.16070399999999999</v>
      </c>
      <c r="U8" s="795">
        <v>0.12886772432541296</v>
      </c>
      <c r="V8" s="795">
        <v>7.9862325130630207</v>
      </c>
    </row>
    <row r="9" spans="1:22">
      <c r="A9" s="538">
        <v>3</v>
      </c>
      <c r="B9" s="537" t="s">
        <v>660</v>
      </c>
      <c r="C9" s="795">
        <v>0</v>
      </c>
      <c r="D9" s="795">
        <v>0</v>
      </c>
      <c r="E9" s="795">
        <v>0</v>
      </c>
      <c r="F9" s="795">
        <v>0</v>
      </c>
      <c r="G9" s="795"/>
      <c r="H9" s="795">
        <v>0</v>
      </c>
      <c r="I9" s="795">
        <v>0</v>
      </c>
      <c r="J9" s="795">
        <v>0</v>
      </c>
      <c r="K9" s="795">
        <v>0</v>
      </c>
      <c r="L9" s="795"/>
      <c r="M9" s="795">
        <v>0</v>
      </c>
      <c r="N9" s="795">
        <v>0</v>
      </c>
      <c r="O9" s="795">
        <v>0</v>
      </c>
      <c r="P9" s="795">
        <v>0</v>
      </c>
      <c r="Q9" s="795"/>
      <c r="R9" s="795">
        <v>0</v>
      </c>
      <c r="S9" s="795" t="s">
        <v>1027</v>
      </c>
      <c r="T9" s="795" t="s">
        <v>1027</v>
      </c>
      <c r="U9" s="795">
        <v>0</v>
      </c>
      <c r="V9" s="795">
        <v>0</v>
      </c>
    </row>
    <row r="10" spans="1:22">
      <c r="A10" s="538">
        <v>4</v>
      </c>
      <c r="B10" s="537" t="s">
        <v>661</v>
      </c>
      <c r="C10" s="795">
        <v>0</v>
      </c>
      <c r="D10" s="795">
        <v>0</v>
      </c>
      <c r="E10" s="795">
        <v>0</v>
      </c>
      <c r="F10" s="795">
        <v>0</v>
      </c>
      <c r="G10" s="795"/>
      <c r="H10" s="795">
        <v>0</v>
      </c>
      <c r="I10" s="795">
        <v>0</v>
      </c>
      <c r="J10" s="795">
        <v>0</v>
      </c>
      <c r="K10" s="795">
        <v>0</v>
      </c>
      <c r="L10" s="795"/>
      <c r="M10" s="795">
        <v>0</v>
      </c>
      <c r="N10" s="795">
        <v>0</v>
      </c>
      <c r="O10" s="795">
        <v>0</v>
      </c>
      <c r="P10" s="795">
        <v>0</v>
      </c>
      <c r="Q10" s="795"/>
      <c r="R10" s="795">
        <v>0</v>
      </c>
      <c r="S10" s="795" t="s">
        <v>1027</v>
      </c>
      <c r="T10" s="795" t="s">
        <v>1027</v>
      </c>
      <c r="U10" s="795">
        <v>0</v>
      </c>
      <c r="V10" s="795">
        <v>0</v>
      </c>
    </row>
    <row r="11" spans="1:22">
      <c r="A11" s="538">
        <v>5</v>
      </c>
      <c r="B11" s="537" t="s">
        <v>662</v>
      </c>
      <c r="C11" s="795">
        <v>0</v>
      </c>
      <c r="D11" s="795">
        <v>0</v>
      </c>
      <c r="E11" s="795">
        <v>0</v>
      </c>
      <c r="F11" s="795">
        <v>0</v>
      </c>
      <c r="G11" s="795"/>
      <c r="H11" s="795">
        <v>0</v>
      </c>
      <c r="I11" s="795">
        <v>0</v>
      </c>
      <c r="J11" s="795">
        <v>0</v>
      </c>
      <c r="K11" s="795">
        <v>0</v>
      </c>
      <c r="L11" s="795"/>
      <c r="M11" s="795">
        <v>0</v>
      </c>
      <c r="N11" s="795">
        <v>0</v>
      </c>
      <c r="O11" s="795">
        <v>0</v>
      </c>
      <c r="P11" s="795">
        <v>0</v>
      </c>
      <c r="Q11" s="795"/>
      <c r="R11" s="795">
        <v>0</v>
      </c>
      <c r="S11" s="795">
        <v>0</v>
      </c>
      <c r="T11" s="795">
        <v>0</v>
      </c>
      <c r="U11" s="795">
        <v>0</v>
      </c>
      <c r="V11" s="795">
        <v>0</v>
      </c>
    </row>
    <row r="12" spans="1:22">
      <c r="A12" s="538">
        <v>6</v>
      </c>
      <c r="B12" s="537" t="s">
        <v>663</v>
      </c>
      <c r="C12" s="795">
        <v>0</v>
      </c>
      <c r="D12" s="795">
        <v>0</v>
      </c>
      <c r="E12" s="795">
        <v>0</v>
      </c>
      <c r="F12" s="795">
        <v>0</v>
      </c>
      <c r="G12" s="795"/>
      <c r="H12" s="795">
        <v>0</v>
      </c>
      <c r="I12" s="795">
        <v>0</v>
      </c>
      <c r="J12" s="795">
        <v>0</v>
      </c>
      <c r="K12" s="795">
        <v>0</v>
      </c>
      <c r="L12" s="795"/>
      <c r="M12" s="795">
        <v>0</v>
      </c>
      <c r="N12" s="795">
        <v>0</v>
      </c>
      <c r="O12" s="795">
        <v>0</v>
      </c>
      <c r="P12" s="795">
        <v>0</v>
      </c>
      <c r="Q12" s="795"/>
      <c r="R12" s="795">
        <v>0</v>
      </c>
      <c r="S12" s="795">
        <v>0</v>
      </c>
      <c r="T12" s="795">
        <v>0</v>
      </c>
      <c r="U12" s="795">
        <v>0</v>
      </c>
      <c r="V12" s="795">
        <v>0</v>
      </c>
    </row>
    <row r="13" spans="1:22">
      <c r="A13" s="538">
        <v>7</v>
      </c>
      <c r="B13" s="537" t="s">
        <v>664</v>
      </c>
      <c r="C13" s="795">
        <v>6345276.6312956028</v>
      </c>
      <c r="D13" s="795">
        <v>5987928.9179256028</v>
      </c>
      <c r="E13" s="795">
        <v>0</v>
      </c>
      <c r="F13" s="795">
        <v>357347.71337000001</v>
      </c>
      <c r="G13" s="795"/>
      <c r="H13" s="795">
        <v>6474443.1634956002</v>
      </c>
      <c r="I13" s="795">
        <v>6058944.3878255999</v>
      </c>
      <c r="J13" s="795">
        <v>0</v>
      </c>
      <c r="K13" s="795">
        <v>415498.77567000006</v>
      </c>
      <c r="L13" s="795"/>
      <c r="M13" s="795">
        <v>110368.15439405729</v>
      </c>
      <c r="N13" s="795">
        <v>10592.138504843002</v>
      </c>
      <c r="O13" s="795">
        <v>0</v>
      </c>
      <c r="P13" s="795">
        <v>99776.015889214294</v>
      </c>
      <c r="Q13" s="795"/>
      <c r="R13" s="795">
        <v>104</v>
      </c>
      <c r="S13" s="795">
        <v>0</v>
      </c>
      <c r="T13" s="795">
        <v>0</v>
      </c>
      <c r="U13" s="795">
        <v>7.0249744574017753E-2</v>
      </c>
      <c r="V13" s="795">
        <v>103.51959511088855</v>
      </c>
    </row>
    <row r="14" spans="1:22">
      <c r="A14" s="532">
        <v>7.1</v>
      </c>
      <c r="B14" s="531" t="s">
        <v>665</v>
      </c>
      <c r="C14" s="795">
        <v>6194131.9781226031</v>
      </c>
      <c r="D14" s="795">
        <v>5836784.2647526031</v>
      </c>
      <c r="E14" s="795">
        <v>0</v>
      </c>
      <c r="F14" s="795">
        <v>357347.71337000001</v>
      </c>
      <c r="G14" s="795"/>
      <c r="H14" s="795">
        <v>6321613.3961226</v>
      </c>
      <c r="I14" s="795">
        <v>5906114.6204525996</v>
      </c>
      <c r="J14" s="795">
        <v>0</v>
      </c>
      <c r="K14" s="795">
        <v>415498.77567000006</v>
      </c>
      <c r="L14" s="795"/>
      <c r="M14" s="795">
        <v>110128.4234500321</v>
      </c>
      <c r="N14" s="795">
        <v>10352.407560817803</v>
      </c>
      <c r="O14" s="795">
        <v>0</v>
      </c>
      <c r="P14" s="795">
        <v>99776.015889214294</v>
      </c>
      <c r="Q14" s="795"/>
      <c r="R14" s="795">
        <v>102</v>
      </c>
      <c r="S14" s="795">
        <v>0</v>
      </c>
      <c r="T14" s="795">
        <v>0</v>
      </c>
      <c r="U14" s="795">
        <v>6.9891447119474176E-2</v>
      </c>
      <c r="V14" s="795">
        <v>105.02116441227639</v>
      </c>
    </row>
    <row r="15" spans="1:22" ht="25.5">
      <c r="A15" s="532">
        <v>7.2</v>
      </c>
      <c r="B15" s="531" t="s">
        <v>666</v>
      </c>
      <c r="C15" s="795">
        <v>151144.65317300003</v>
      </c>
      <c r="D15" s="795">
        <v>151144.65317300003</v>
      </c>
      <c r="E15" s="795">
        <v>0</v>
      </c>
      <c r="F15" s="795">
        <v>0</v>
      </c>
      <c r="G15" s="795"/>
      <c r="H15" s="795">
        <v>152829.76737300001</v>
      </c>
      <c r="I15" s="795">
        <v>152829.76737300001</v>
      </c>
      <c r="J15" s="795">
        <v>0</v>
      </c>
      <c r="K15" s="795">
        <v>0</v>
      </c>
      <c r="L15" s="795"/>
      <c r="M15" s="795">
        <v>239.73094402519999</v>
      </c>
      <c r="N15" s="795">
        <v>239.73094402519999</v>
      </c>
      <c r="O15" s="795">
        <v>0</v>
      </c>
      <c r="P15" s="795">
        <v>0</v>
      </c>
      <c r="Q15" s="795"/>
      <c r="R15" s="795">
        <v>2</v>
      </c>
      <c r="S15" s="795" t="s">
        <v>1027</v>
      </c>
      <c r="T15" s="795" t="s">
        <v>1027</v>
      </c>
      <c r="U15" s="795">
        <v>8.4933305482573274E-2</v>
      </c>
      <c r="V15" s="795">
        <v>41.983058873329</v>
      </c>
    </row>
    <row r="16" spans="1:22">
      <c r="A16" s="532">
        <v>7.3</v>
      </c>
      <c r="B16" s="531" t="s">
        <v>667</v>
      </c>
      <c r="C16" s="795"/>
      <c r="D16" s="795"/>
      <c r="E16" s="795"/>
      <c r="F16" s="795"/>
      <c r="G16" s="795"/>
      <c r="H16" s="795"/>
      <c r="I16" s="795"/>
      <c r="J16" s="795"/>
      <c r="K16" s="795"/>
      <c r="L16" s="795"/>
      <c r="M16" s="795"/>
      <c r="N16" s="795"/>
      <c r="O16" s="795"/>
      <c r="P16" s="795"/>
      <c r="Q16" s="795"/>
      <c r="R16" s="795"/>
      <c r="S16" s="795" t="s">
        <v>1027</v>
      </c>
      <c r="T16" s="795" t="s">
        <v>1027</v>
      </c>
      <c r="U16" s="795"/>
      <c r="V16" s="795"/>
    </row>
    <row r="17" spans="1:22">
      <c r="A17" s="538">
        <v>8</v>
      </c>
      <c r="B17" s="537" t="s">
        <v>668</v>
      </c>
      <c r="C17" s="795">
        <v>0</v>
      </c>
      <c r="D17" s="795">
        <v>0</v>
      </c>
      <c r="E17" s="795">
        <v>0</v>
      </c>
      <c r="F17" s="795">
        <v>0</v>
      </c>
      <c r="G17" s="795"/>
      <c r="H17" s="795">
        <v>0</v>
      </c>
      <c r="I17" s="795">
        <v>0</v>
      </c>
      <c r="J17" s="795">
        <v>0</v>
      </c>
      <c r="K17" s="795">
        <v>0</v>
      </c>
      <c r="L17" s="795"/>
      <c r="M17" s="795">
        <v>0</v>
      </c>
      <c r="N17" s="795">
        <v>0</v>
      </c>
      <c r="O17" s="795">
        <v>0</v>
      </c>
      <c r="P17" s="795">
        <v>0</v>
      </c>
      <c r="Q17" s="795"/>
      <c r="R17" s="795">
        <v>0</v>
      </c>
      <c r="S17" s="795">
        <v>0</v>
      </c>
      <c r="T17" s="795">
        <v>0</v>
      </c>
      <c r="U17" s="795">
        <v>0</v>
      </c>
      <c r="V17" s="795">
        <v>0</v>
      </c>
    </row>
    <row r="18" spans="1:22">
      <c r="A18" s="536">
        <v>9</v>
      </c>
      <c r="B18" s="535" t="s">
        <v>669</v>
      </c>
      <c r="C18" s="796">
        <v>0</v>
      </c>
      <c r="D18" s="796">
        <v>0</v>
      </c>
      <c r="E18" s="796">
        <v>0</v>
      </c>
      <c r="F18" s="796">
        <v>0</v>
      </c>
      <c r="G18" s="796"/>
      <c r="H18" s="796">
        <v>0</v>
      </c>
      <c r="I18" s="796">
        <v>0</v>
      </c>
      <c r="J18" s="796">
        <v>0</v>
      </c>
      <c r="K18" s="796">
        <v>0</v>
      </c>
      <c r="L18" s="796"/>
      <c r="M18" s="796">
        <v>0</v>
      </c>
      <c r="N18" s="796">
        <v>0</v>
      </c>
      <c r="O18" s="796">
        <v>0</v>
      </c>
      <c r="P18" s="796">
        <v>0</v>
      </c>
      <c r="Q18" s="796"/>
      <c r="R18" s="796">
        <v>0</v>
      </c>
      <c r="S18" s="796">
        <v>0</v>
      </c>
      <c r="T18" s="796">
        <v>0</v>
      </c>
      <c r="U18" s="796">
        <v>0</v>
      </c>
      <c r="V18" s="796">
        <v>0</v>
      </c>
    </row>
    <row r="19" spans="1:22">
      <c r="A19" s="534">
        <v>10</v>
      </c>
      <c r="B19" s="533" t="s">
        <v>685</v>
      </c>
      <c r="C19" s="795">
        <v>6659217.3415396027</v>
      </c>
      <c r="D19" s="795">
        <v>6118360.5585696027</v>
      </c>
      <c r="E19" s="795">
        <v>0</v>
      </c>
      <c r="F19" s="795">
        <v>540856.78297000006</v>
      </c>
      <c r="G19" s="795">
        <v>0</v>
      </c>
      <c r="H19" s="795">
        <v>6862758.3815396</v>
      </c>
      <c r="I19" s="795">
        <v>6196545.8462696001</v>
      </c>
      <c r="J19" s="795">
        <v>0</v>
      </c>
      <c r="K19" s="795">
        <v>666212.53527000011</v>
      </c>
      <c r="L19" s="795">
        <v>0</v>
      </c>
      <c r="M19" s="795">
        <v>351280.74685283075</v>
      </c>
      <c r="N19" s="795">
        <v>14193.967590225002</v>
      </c>
      <c r="O19" s="795">
        <v>0</v>
      </c>
      <c r="P19" s="795">
        <v>337086.77926260582</v>
      </c>
      <c r="Q19" s="795">
        <v>0</v>
      </c>
      <c r="R19" s="795">
        <v>148</v>
      </c>
      <c r="S19" s="795">
        <v>0.15</v>
      </c>
      <c r="T19" s="795">
        <v>0.16070399999999999</v>
      </c>
      <c r="U19" s="795">
        <v>7.212639092043116E-2</v>
      </c>
      <c r="V19" s="795">
        <v>99.307730374552889</v>
      </c>
    </row>
    <row r="20" spans="1:22" ht="25.5">
      <c r="A20" s="532">
        <v>10.1</v>
      </c>
      <c r="B20" s="531" t="s">
        <v>688</v>
      </c>
      <c r="C20" s="1005"/>
      <c r="D20" s="526"/>
      <c r="E20" s="526"/>
      <c r="F20" s="526"/>
      <c r="G20" s="526"/>
      <c r="H20" s="526"/>
      <c r="I20" s="526"/>
      <c r="J20" s="526"/>
      <c r="K20" s="526"/>
      <c r="L20" s="526"/>
      <c r="M20" s="526"/>
      <c r="N20" s="526"/>
      <c r="O20" s="526"/>
      <c r="P20" s="526"/>
      <c r="Q20" s="526"/>
      <c r="R20" s="526"/>
      <c r="S20" s="526"/>
      <c r="T20" s="526"/>
      <c r="U20" s="526"/>
      <c r="V20" s="526"/>
    </row>
    <row r="21" spans="1:22">
      <c r="C21" s="1006"/>
    </row>
    <row r="22" spans="1:22">
      <c r="C22" s="1006"/>
      <c r="E22" s="1008"/>
    </row>
    <row r="23" spans="1:22">
      <c r="C23" s="1006"/>
      <c r="E23" s="1008"/>
    </row>
    <row r="24" spans="1:22">
      <c r="C24" s="1007"/>
      <c r="E24" s="1008"/>
    </row>
    <row r="25" spans="1:22">
      <c r="C25" s="1007"/>
      <c r="E25" s="1008"/>
    </row>
    <row r="26" spans="1:22">
      <c r="E26" s="1008"/>
    </row>
    <row r="27" spans="1:22">
      <c r="E27" s="1008"/>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topLeftCell="A201" zoomScale="110" zoomScaleNormal="110" workbookViewId="0">
      <selection activeCell="B204" sqref="B204:C204"/>
    </sheetView>
  </sheetViews>
  <sheetFormatPr defaultColWidth="43.5703125" defaultRowHeight="11.25"/>
  <cols>
    <col min="1" max="1" width="8" style="140" customWidth="1"/>
    <col min="2" max="2" width="66.28515625" style="141" customWidth="1"/>
    <col min="3" max="3" width="131.42578125" style="142" customWidth="1"/>
    <col min="4" max="5" width="10.28515625" style="133" customWidth="1"/>
    <col min="6" max="6" width="67.7109375" style="133" customWidth="1"/>
    <col min="7" max="16384" width="43.5703125" style="133"/>
  </cols>
  <sheetData>
    <row r="1" spans="1:3" ht="12.75" thickTop="1" thickBot="1">
      <c r="A1" s="997" t="s">
        <v>176</v>
      </c>
      <c r="B1" s="998"/>
      <c r="C1" s="999"/>
    </row>
    <row r="2" spans="1:3" ht="26.25" customHeight="1">
      <c r="A2" s="351"/>
      <c r="B2" s="1000" t="s">
        <v>177</v>
      </c>
      <c r="C2" s="1000"/>
    </row>
    <row r="3" spans="1:3" s="138" customFormat="1" ht="11.25" customHeight="1">
      <c r="A3" s="137"/>
      <c r="B3" s="1000" t="s">
        <v>251</v>
      </c>
      <c r="C3" s="1000"/>
    </row>
    <row r="4" spans="1:3" ht="12" customHeight="1" thickBot="1">
      <c r="A4" s="979" t="s">
        <v>255</v>
      </c>
      <c r="B4" s="980"/>
      <c r="C4" s="981"/>
    </row>
    <row r="5" spans="1:3" ht="12" thickTop="1">
      <c r="A5" s="134"/>
      <c r="B5" s="982" t="s">
        <v>178</v>
      </c>
      <c r="C5" s="983"/>
    </row>
    <row r="6" spans="1:3">
      <c r="A6" s="351"/>
      <c r="B6" s="961" t="s">
        <v>252</v>
      </c>
      <c r="C6" s="962"/>
    </row>
    <row r="7" spans="1:3">
      <c r="A7" s="351"/>
      <c r="B7" s="961" t="s">
        <v>179</v>
      </c>
      <c r="C7" s="962"/>
    </row>
    <row r="8" spans="1:3">
      <c r="A8" s="351"/>
      <c r="B8" s="961" t="s">
        <v>253</v>
      </c>
      <c r="C8" s="962"/>
    </row>
    <row r="9" spans="1:3">
      <c r="A9" s="351"/>
      <c r="B9" s="1003" t="s">
        <v>254</v>
      </c>
      <c r="C9" s="1004"/>
    </row>
    <row r="10" spans="1:3">
      <c r="A10" s="351"/>
      <c r="B10" s="995" t="s">
        <v>180</v>
      </c>
      <c r="C10" s="996" t="s">
        <v>180</v>
      </c>
    </row>
    <row r="11" spans="1:3">
      <c r="A11" s="351"/>
      <c r="B11" s="995" t="s">
        <v>181</v>
      </c>
      <c r="C11" s="996" t="s">
        <v>181</v>
      </c>
    </row>
    <row r="12" spans="1:3">
      <c r="A12" s="351"/>
      <c r="B12" s="995" t="s">
        <v>182</v>
      </c>
      <c r="C12" s="996" t="s">
        <v>182</v>
      </c>
    </row>
    <row r="13" spans="1:3">
      <c r="A13" s="351"/>
      <c r="B13" s="995" t="s">
        <v>183</v>
      </c>
      <c r="C13" s="996" t="s">
        <v>183</v>
      </c>
    </row>
    <row r="14" spans="1:3">
      <c r="A14" s="351"/>
      <c r="B14" s="995" t="s">
        <v>184</v>
      </c>
      <c r="C14" s="996" t="s">
        <v>184</v>
      </c>
    </row>
    <row r="15" spans="1:3" ht="21.75" customHeight="1">
      <c r="A15" s="351"/>
      <c r="B15" s="995" t="s">
        <v>185</v>
      </c>
      <c r="C15" s="996" t="s">
        <v>185</v>
      </c>
    </row>
    <row r="16" spans="1:3">
      <c r="A16" s="351"/>
      <c r="B16" s="995" t="s">
        <v>186</v>
      </c>
      <c r="C16" s="996" t="s">
        <v>187</v>
      </c>
    </row>
    <row r="17" spans="1:6">
      <c r="A17" s="351"/>
      <c r="B17" s="995" t="s">
        <v>188</v>
      </c>
      <c r="C17" s="996" t="s">
        <v>189</v>
      </c>
    </row>
    <row r="18" spans="1:6">
      <c r="A18" s="351"/>
      <c r="B18" s="995" t="s">
        <v>190</v>
      </c>
      <c r="C18" s="996" t="s">
        <v>191</v>
      </c>
    </row>
    <row r="19" spans="1:6">
      <c r="A19" s="627"/>
      <c r="B19" s="1001" t="s">
        <v>192</v>
      </c>
      <c r="C19" s="1002" t="s">
        <v>192</v>
      </c>
    </row>
    <row r="20" spans="1:6">
      <c r="A20" s="627"/>
      <c r="B20" s="1001" t="s">
        <v>918</v>
      </c>
      <c r="C20" s="1002" t="s">
        <v>193</v>
      </c>
    </row>
    <row r="21" spans="1:6">
      <c r="A21" s="351"/>
      <c r="B21" s="1001" t="s">
        <v>961</v>
      </c>
      <c r="C21" s="1002" t="s">
        <v>194</v>
      </c>
    </row>
    <row r="22" spans="1:6" ht="23.25" customHeight="1">
      <c r="A22" s="351"/>
      <c r="B22" s="995" t="s">
        <v>195</v>
      </c>
      <c r="C22" s="996" t="s">
        <v>196</v>
      </c>
      <c r="F22" s="590"/>
    </row>
    <row r="23" spans="1:6">
      <c r="A23" s="351"/>
      <c r="B23" s="995" t="s">
        <v>197</v>
      </c>
      <c r="C23" s="996" t="s">
        <v>197</v>
      </c>
    </row>
    <row r="24" spans="1:6">
      <c r="A24" s="351"/>
      <c r="B24" s="995" t="s">
        <v>198</v>
      </c>
      <c r="C24" s="996" t="s">
        <v>199</v>
      </c>
    </row>
    <row r="25" spans="1:6" ht="12" thickBot="1">
      <c r="A25" s="135"/>
      <c r="B25" s="989" t="s">
        <v>200</v>
      </c>
      <c r="C25" s="990"/>
    </row>
    <row r="26" spans="1:6" ht="12.75" thickTop="1" thickBot="1">
      <c r="A26" s="979" t="s">
        <v>812</v>
      </c>
      <c r="B26" s="980"/>
      <c r="C26" s="981"/>
    </row>
    <row r="27" spans="1:6" ht="12.75" thickTop="1" thickBot="1">
      <c r="A27" s="136"/>
      <c r="B27" s="991" t="s">
        <v>813</v>
      </c>
      <c r="C27" s="992"/>
    </row>
    <row r="28" spans="1:6" ht="12.75" thickTop="1" thickBot="1">
      <c r="A28" s="979" t="s">
        <v>256</v>
      </c>
      <c r="B28" s="980"/>
      <c r="C28" s="981"/>
    </row>
    <row r="29" spans="1:6" ht="12" thickTop="1">
      <c r="A29" s="134"/>
      <c r="B29" s="993" t="s">
        <v>816</v>
      </c>
      <c r="C29" s="994" t="s">
        <v>201</v>
      </c>
    </row>
    <row r="30" spans="1:6">
      <c r="A30" s="351"/>
      <c r="B30" s="970" t="s">
        <v>205</v>
      </c>
      <c r="C30" s="971" t="s">
        <v>202</v>
      </c>
    </row>
    <row r="31" spans="1:6">
      <c r="A31" s="351"/>
      <c r="B31" s="970" t="s">
        <v>814</v>
      </c>
      <c r="C31" s="971" t="s">
        <v>203</v>
      </c>
    </row>
    <row r="32" spans="1:6">
      <c r="A32" s="351"/>
      <c r="B32" s="970" t="s">
        <v>815</v>
      </c>
      <c r="C32" s="971" t="s">
        <v>204</v>
      </c>
    </row>
    <row r="33" spans="1:3">
      <c r="A33" s="351"/>
      <c r="B33" s="970" t="s">
        <v>208</v>
      </c>
      <c r="C33" s="971" t="s">
        <v>209</v>
      </c>
    </row>
    <row r="34" spans="1:3">
      <c r="A34" s="351"/>
      <c r="B34" s="970" t="s">
        <v>817</v>
      </c>
      <c r="C34" s="971" t="s">
        <v>206</v>
      </c>
    </row>
    <row r="35" spans="1:3">
      <c r="A35" s="351"/>
      <c r="B35" s="970" t="s">
        <v>818</v>
      </c>
      <c r="C35" s="971" t="s">
        <v>207</v>
      </c>
    </row>
    <row r="36" spans="1:3">
      <c r="A36" s="351"/>
      <c r="B36" s="986" t="s">
        <v>819</v>
      </c>
      <c r="C36" s="987"/>
    </row>
    <row r="37" spans="1:3" ht="24.75" customHeight="1">
      <c r="A37" s="351"/>
      <c r="B37" s="970" t="s">
        <v>820</v>
      </c>
      <c r="C37" s="971" t="s">
        <v>210</v>
      </c>
    </row>
    <row r="38" spans="1:3" ht="23.25" customHeight="1">
      <c r="A38" s="351"/>
      <c r="B38" s="970" t="s">
        <v>821</v>
      </c>
      <c r="C38" s="971" t="s">
        <v>211</v>
      </c>
    </row>
    <row r="39" spans="1:3" ht="23.25" customHeight="1">
      <c r="A39" s="422"/>
      <c r="B39" s="986" t="s">
        <v>822</v>
      </c>
      <c r="C39" s="988"/>
    </row>
    <row r="40" spans="1:3" ht="12" customHeight="1">
      <c r="A40" s="351"/>
      <c r="B40" s="970" t="s">
        <v>823</v>
      </c>
      <c r="C40" s="971"/>
    </row>
    <row r="41" spans="1:3" ht="12" thickBot="1">
      <c r="A41" s="979" t="s">
        <v>257</v>
      </c>
      <c r="B41" s="980"/>
      <c r="C41" s="981"/>
    </row>
    <row r="42" spans="1:3" ht="12" thickTop="1">
      <c r="A42" s="134"/>
      <c r="B42" s="982" t="s">
        <v>287</v>
      </c>
      <c r="C42" s="983" t="s">
        <v>212</v>
      </c>
    </row>
    <row r="43" spans="1:3">
      <c r="A43" s="351"/>
      <c r="B43" s="961" t="s">
        <v>286</v>
      </c>
      <c r="C43" s="962"/>
    </row>
    <row r="44" spans="1:3" ht="23.25" customHeight="1" thickBot="1">
      <c r="A44" s="135"/>
      <c r="B44" s="977" t="s">
        <v>213</v>
      </c>
      <c r="C44" s="978" t="s">
        <v>214</v>
      </c>
    </row>
    <row r="45" spans="1:3" ht="11.25" customHeight="1" thickTop="1" thickBot="1">
      <c r="A45" s="979" t="s">
        <v>258</v>
      </c>
      <c r="B45" s="980"/>
      <c r="C45" s="981"/>
    </row>
    <row r="46" spans="1:3" ht="26.25" customHeight="1" thickTop="1">
      <c r="A46" s="351"/>
      <c r="B46" s="961" t="s">
        <v>259</v>
      </c>
      <c r="C46" s="962"/>
    </row>
    <row r="47" spans="1:3" ht="12" thickBot="1">
      <c r="A47" s="979" t="s">
        <v>260</v>
      </c>
      <c r="B47" s="980"/>
      <c r="C47" s="981"/>
    </row>
    <row r="48" spans="1:3" ht="12" thickTop="1">
      <c r="A48" s="134"/>
      <c r="B48" s="982" t="s">
        <v>215</v>
      </c>
      <c r="C48" s="983" t="s">
        <v>215</v>
      </c>
    </row>
    <row r="49" spans="1:3" ht="11.25" customHeight="1">
      <c r="A49" s="351"/>
      <c r="B49" s="961" t="s">
        <v>216</v>
      </c>
      <c r="C49" s="962" t="s">
        <v>216</v>
      </c>
    </row>
    <row r="50" spans="1:3">
      <c r="A50" s="351"/>
      <c r="B50" s="961" t="s">
        <v>217</v>
      </c>
      <c r="C50" s="962" t="s">
        <v>217</v>
      </c>
    </row>
    <row r="51" spans="1:3" ht="11.25" customHeight="1">
      <c r="A51" s="351"/>
      <c r="B51" s="961" t="s">
        <v>825</v>
      </c>
      <c r="C51" s="962" t="s">
        <v>218</v>
      </c>
    </row>
    <row r="52" spans="1:3" ht="33.6" customHeight="1">
      <c r="A52" s="351"/>
      <c r="B52" s="961" t="s">
        <v>219</v>
      </c>
      <c r="C52" s="962" t="s">
        <v>219</v>
      </c>
    </row>
    <row r="53" spans="1:3" ht="11.25" customHeight="1">
      <c r="A53" s="351"/>
      <c r="B53" s="961" t="s">
        <v>307</v>
      </c>
      <c r="C53" s="962" t="s">
        <v>220</v>
      </c>
    </row>
    <row r="54" spans="1:3" ht="11.25" customHeight="1" thickBot="1">
      <c r="A54" s="979" t="s">
        <v>261</v>
      </c>
      <c r="B54" s="980"/>
      <c r="C54" s="981"/>
    </row>
    <row r="55" spans="1:3" ht="12" thickTop="1">
      <c r="A55" s="134"/>
      <c r="B55" s="982" t="s">
        <v>215</v>
      </c>
      <c r="C55" s="983" t="s">
        <v>215</v>
      </c>
    </row>
    <row r="56" spans="1:3">
      <c r="A56" s="351"/>
      <c r="B56" s="961" t="s">
        <v>221</v>
      </c>
      <c r="C56" s="962" t="s">
        <v>221</v>
      </c>
    </row>
    <row r="57" spans="1:3">
      <c r="A57" s="351"/>
      <c r="B57" s="961" t="s">
        <v>264</v>
      </c>
      <c r="C57" s="962" t="s">
        <v>222</v>
      </c>
    </row>
    <row r="58" spans="1:3">
      <c r="A58" s="351"/>
      <c r="B58" s="961" t="s">
        <v>223</v>
      </c>
      <c r="C58" s="962" t="s">
        <v>223</v>
      </c>
    </row>
    <row r="59" spans="1:3">
      <c r="A59" s="351"/>
      <c r="B59" s="961" t="s">
        <v>224</v>
      </c>
      <c r="C59" s="962" t="s">
        <v>224</v>
      </c>
    </row>
    <row r="60" spans="1:3">
      <c r="A60" s="351"/>
      <c r="B60" s="961" t="s">
        <v>225</v>
      </c>
      <c r="C60" s="962" t="s">
        <v>225</v>
      </c>
    </row>
    <row r="61" spans="1:3">
      <c r="A61" s="351"/>
      <c r="B61" s="961" t="s">
        <v>265</v>
      </c>
      <c r="C61" s="962" t="s">
        <v>226</v>
      </c>
    </row>
    <row r="62" spans="1:3" ht="12" customHeight="1">
      <c r="A62" s="351"/>
      <c r="B62" s="944" t="s">
        <v>998</v>
      </c>
      <c r="C62" s="945" t="s">
        <v>227</v>
      </c>
    </row>
    <row r="63" spans="1:3" ht="22.5" customHeight="1" thickBot="1">
      <c r="A63" s="135"/>
      <c r="B63" s="977" t="s">
        <v>228</v>
      </c>
      <c r="C63" s="978" t="s">
        <v>228</v>
      </c>
    </row>
    <row r="64" spans="1:3" ht="11.25" customHeight="1" thickTop="1">
      <c r="A64" s="967" t="s">
        <v>262</v>
      </c>
      <c r="B64" s="968"/>
      <c r="C64" s="969"/>
    </row>
    <row r="65" spans="1:3" ht="12" thickBot="1">
      <c r="A65" s="135"/>
      <c r="B65" s="977" t="s">
        <v>229</v>
      </c>
      <c r="C65" s="978" t="s">
        <v>229</v>
      </c>
    </row>
    <row r="66" spans="1:3" ht="11.25" customHeight="1" thickTop="1">
      <c r="A66" s="967" t="s">
        <v>951</v>
      </c>
      <c r="B66" s="968"/>
      <c r="C66" s="969"/>
    </row>
    <row r="67" spans="1:3" ht="12" thickBot="1">
      <c r="A67" s="135"/>
      <c r="B67" s="977" t="s">
        <v>950</v>
      </c>
      <c r="C67" s="978"/>
    </row>
    <row r="68" spans="1:3" ht="11.25" customHeight="1" thickTop="1" thickBot="1">
      <c r="A68" s="979" t="s">
        <v>263</v>
      </c>
      <c r="B68" s="980"/>
      <c r="C68" s="981"/>
    </row>
    <row r="69" spans="1:3" ht="12" thickTop="1">
      <c r="A69" s="134"/>
      <c r="B69" s="982" t="s">
        <v>230</v>
      </c>
      <c r="C69" s="983" t="s">
        <v>230</v>
      </c>
    </row>
    <row r="70" spans="1:3">
      <c r="A70" s="351"/>
      <c r="B70" s="961" t="s">
        <v>827</v>
      </c>
      <c r="C70" s="962" t="s">
        <v>231</v>
      </c>
    </row>
    <row r="71" spans="1:3">
      <c r="A71" s="351"/>
      <c r="B71" s="961" t="s">
        <v>232</v>
      </c>
      <c r="C71" s="962" t="s">
        <v>232</v>
      </c>
    </row>
    <row r="72" spans="1:3" ht="55.15" customHeight="1">
      <c r="A72" s="351"/>
      <c r="B72" s="984" t="s">
        <v>962</v>
      </c>
      <c r="C72" s="985" t="s">
        <v>233</v>
      </c>
    </row>
    <row r="73" spans="1:3" ht="33.75" customHeight="1">
      <c r="A73" s="351"/>
      <c r="B73" s="975" t="s">
        <v>266</v>
      </c>
      <c r="C73" s="976" t="s">
        <v>234</v>
      </c>
    </row>
    <row r="74" spans="1:3" ht="15.75" customHeight="1">
      <c r="A74" s="351"/>
      <c r="B74" s="975" t="s">
        <v>828</v>
      </c>
      <c r="C74" s="976" t="s">
        <v>235</v>
      </c>
    </row>
    <row r="75" spans="1:3">
      <c r="A75" s="351"/>
      <c r="B75" s="961" t="s">
        <v>236</v>
      </c>
      <c r="C75" s="962" t="s">
        <v>236</v>
      </c>
    </row>
    <row r="76" spans="1:3" ht="12" thickBot="1">
      <c r="A76" s="135"/>
      <c r="B76" s="977" t="s">
        <v>237</v>
      </c>
      <c r="C76" s="978" t="s">
        <v>237</v>
      </c>
    </row>
    <row r="77" spans="1:3" ht="12" thickTop="1">
      <c r="A77" s="967" t="s">
        <v>290</v>
      </c>
      <c r="B77" s="968"/>
      <c r="C77" s="969"/>
    </row>
    <row r="78" spans="1:3">
      <c r="A78" s="351"/>
      <c r="B78" s="961" t="s">
        <v>229</v>
      </c>
      <c r="C78" s="962"/>
    </row>
    <row r="79" spans="1:3">
      <c r="A79" s="351"/>
      <c r="B79" s="961" t="s">
        <v>288</v>
      </c>
      <c r="C79" s="962"/>
    </row>
    <row r="80" spans="1:3">
      <c r="A80" s="351"/>
      <c r="B80" s="961" t="s">
        <v>289</v>
      </c>
      <c r="C80" s="962"/>
    </row>
    <row r="81" spans="1:3">
      <c r="A81" s="967" t="s">
        <v>291</v>
      </c>
      <c r="B81" s="968"/>
      <c r="C81" s="969"/>
    </row>
    <row r="82" spans="1:3">
      <c r="A82" s="351"/>
      <c r="B82" s="961" t="s">
        <v>229</v>
      </c>
      <c r="C82" s="962"/>
    </row>
    <row r="83" spans="1:3">
      <c r="A83" s="351"/>
      <c r="B83" s="961" t="s">
        <v>292</v>
      </c>
      <c r="C83" s="962"/>
    </row>
    <row r="84" spans="1:3" ht="79.5" customHeight="1">
      <c r="A84" s="351"/>
      <c r="B84" s="961" t="s">
        <v>306</v>
      </c>
      <c r="C84" s="962"/>
    </row>
    <row r="85" spans="1:3" ht="53.25" customHeight="1">
      <c r="A85" s="351"/>
      <c r="B85" s="961" t="s">
        <v>305</v>
      </c>
      <c r="C85" s="962"/>
    </row>
    <row r="86" spans="1:3">
      <c r="A86" s="351"/>
      <c r="B86" s="961" t="s">
        <v>293</v>
      </c>
      <c r="C86" s="962"/>
    </row>
    <row r="87" spans="1:3">
      <c r="A87" s="351"/>
      <c r="B87" s="961" t="s">
        <v>294</v>
      </c>
      <c r="C87" s="962"/>
    </row>
    <row r="88" spans="1:3">
      <c r="A88" s="351"/>
      <c r="B88" s="961" t="s">
        <v>295</v>
      </c>
      <c r="C88" s="962"/>
    </row>
    <row r="89" spans="1:3">
      <c r="A89" s="967" t="s">
        <v>296</v>
      </c>
      <c r="B89" s="968"/>
      <c r="C89" s="969"/>
    </row>
    <row r="90" spans="1:3">
      <c r="A90" s="351"/>
      <c r="B90" s="961" t="s">
        <v>229</v>
      </c>
      <c r="C90" s="962"/>
    </row>
    <row r="91" spans="1:3">
      <c r="A91" s="351"/>
      <c r="B91" s="961" t="s">
        <v>298</v>
      </c>
      <c r="C91" s="962"/>
    </row>
    <row r="92" spans="1:3" ht="12" customHeight="1">
      <c r="A92" s="351"/>
      <c r="B92" s="961" t="s">
        <v>299</v>
      </c>
      <c r="C92" s="962"/>
    </row>
    <row r="93" spans="1:3">
      <c r="A93" s="351"/>
      <c r="B93" s="961" t="s">
        <v>300</v>
      </c>
      <c r="C93" s="962"/>
    </row>
    <row r="94" spans="1:3" ht="24.75" customHeight="1">
      <c r="A94" s="351"/>
      <c r="B94" s="970" t="s">
        <v>336</v>
      </c>
      <c r="C94" s="971"/>
    </row>
    <row r="95" spans="1:3" ht="24" customHeight="1">
      <c r="A95" s="351"/>
      <c r="B95" s="970" t="s">
        <v>337</v>
      </c>
      <c r="C95" s="971"/>
    </row>
    <row r="96" spans="1:3" ht="13.5" customHeight="1">
      <c r="A96" s="351"/>
      <c r="B96" s="970" t="s">
        <v>301</v>
      </c>
      <c r="C96" s="971"/>
    </row>
    <row r="97" spans="1:3" ht="11.25" customHeight="1" thickBot="1">
      <c r="A97" s="972" t="s">
        <v>332</v>
      </c>
      <c r="B97" s="973"/>
      <c r="C97" s="974"/>
    </row>
    <row r="98" spans="1:3" ht="12.75" thickTop="1" thickBot="1">
      <c r="A98" s="966" t="s">
        <v>238</v>
      </c>
      <c r="B98" s="966"/>
      <c r="C98" s="966"/>
    </row>
    <row r="99" spans="1:3">
      <c r="A99" s="207">
        <v>2</v>
      </c>
      <c r="B99" s="336" t="s">
        <v>312</v>
      </c>
      <c r="C99" s="336" t="s">
        <v>333</v>
      </c>
    </row>
    <row r="100" spans="1:3">
      <c r="A100" s="139">
        <v>3</v>
      </c>
      <c r="B100" s="337" t="s">
        <v>313</v>
      </c>
      <c r="C100" s="338" t="s">
        <v>334</v>
      </c>
    </row>
    <row r="101" spans="1:3">
      <c r="A101" s="139">
        <v>4</v>
      </c>
      <c r="B101" s="337" t="s">
        <v>314</v>
      </c>
      <c r="C101" s="338" t="s">
        <v>338</v>
      </c>
    </row>
    <row r="102" spans="1:3" ht="11.25" customHeight="1">
      <c r="A102" s="139">
        <v>5</v>
      </c>
      <c r="B102" s="337" t="s">
        <v>315</v>
      </c>
      <c r="C102" s="338" t="s">
        <v>335</v>
      </c>
    </row>
    <row r="103" spans="1:3" ht="12" customHeight="1">
      <c r="A103" s="139">
        <v>6</v>
      </c>
      <c r="B103" s="337" t="s">
        <v>330</v>
      </c>
      <c r="C103" s="338" t="s">
        <v>316</v>
      </c>
    </row>
    <row r="104" spans="1:3" ht="12" customHeight="1">
      <c r="A104" s="139">
        <v>7</v>
      </c>
      <c r="B104" s="337" t="s">
        <v>317</v>
      </c>
      <c r="C104" s="338" t="s">
        <v>331</v>
      </c>
    </row>
    <row r="105" spans="1:3">
      <c r="A105" s="139">
        <v>8</v>
      </c>
      <c r="B105" s="337" t="s">
        <v>322</v>
      </c>
      <c r="C105" s="338" t="s">
        <v>342</v>
      </c>
    </row>
    <row r="106" spans="1:3" ht="11.25" customHeight="1">
      <c r="A106" s="967" t="s">
        <v>302</v>
      </c>
      <c r="B106" s="968"/>
      <c r="C106" s="969"/>
    </row>
    <row r="107" spans="1:3" ht="12" customHeight="1">
      <c r="A107" s="351"/>
      <c r="B107" s="944" t="s">
        <v>999</v>
      </c>
      <c r="C107" s="945"/>
    </row>
    <row r="108" spans="1:3">
      <c r="A108" s="967" t="s">
        <v>458</v>
      </c>
      <c r="B108" s="968"/>
      <c r="C108" s="969"/>
    </row>
    <row r="109" spans="1:3" ht="12" customHeight="1">
      <c r="A109" s="351"/>
      <c r="B109" s="961" t="s">
        <v>460</v>
      </c>
      <c r="C109" s="962"/>
    </row>
    <row r="110" spans="1:3">
      <c r="A110" s="351"/>
      <c r="B110" s="961" t="s">
        <v>461</v>
      </c>
      <c r="C110" s="962"/>
    </row>
    <row r="111" spans="1:3">
      <c r="A111" s="351"/>
      <c r="B111" s="961" t="s">
        <v>459</v>
      </c>
      <c r="C111" s="962"/>
    </row>
    <row r="112" spans="1:3">
      <c r="A112" s="958" t="s">
        <v>692</v>
      </c>
      <c r="B112" s="958"/>
      <c r="C112" s="958"/>
    </row>
    <row r="113" spans="1:3">
      <c r="A113" s="963" t="s">
        <v>176</v>
      </c>
      <c r="B113" s="963"/>
      <c r="C113" s="963"/>
    </row>
    <row r="114" spans="1:3">
      <c r="A114" s="572">
        <v>1</v>
      </c>
      <c r="B114" s="946" t="s">
        <v>576</v>
      </c>
      <c r="C114" s="947"/>
    </row>
    <row r="115" spans="1:3">
      <c r="A115" s="572">
        <v>2</v>
      </c>
      <c r="B115" s="964" t="s">
        <v>577</v>
      </c>
      <c r="C115" s="965"/>
    </row>
    <row r="116" spans="1:3">
      <c r="A116" s="572">
        <v>3</v>
      </c>
      <c r="B116" s="946" t="s">
        <v>902</v>
      </c>
      <c r="C116" s="947"/>
    </row>
    <row r="117" spans="1:3">
      <c r="A117" s="572">
        <v>4</v>
      </c>
      <c r="B117" s="946" t="s">
        <v>901</v>
      </c>
      <c r="C117" s="947"/>
    </row>
    <row r="118" spans="1:3">
      <c r="A118" s="572">
        <v>5</v>
      </c>
      <c r="B118" s="576" t="s">
        <v>900</v>
      </c>
      <c r="C118" s="575"/>
    </row>
    <row r="119" spans="1:3">
      <c r="A119" s="572">
        <v>6</v>
      </c>
      <c r="B119" s="948" t="s">
        <v>968</v>
      </c>
      <c r="C119" s="949"/>
    </row>
    <row r="120" spans="1:3" ht="48.4" customHeight="1">
      <c r="A120" s="572">
        <v>7</v>
      </c>
      <c r="B120" s="948" t="s">
        <v>969</v>
      </c>
      <c r="C120" s="949"/>
    </row>
    <row r="121" spans="1:3">
      <c r="A121" s="547">
        <v>8</v>
      </c>
      <c r="B121" s="544" t="s">
        <v>603</v>
      </c>
      <c r="C121" s="569" t="s">
        <v>899</v>
      </c>
    </row>
    <row r="122" spans="1:3" ht="22.5">
      <c r="A122" s="572">
        <v>9.01</v>
      </c>
      <c r="B122" s="544" t="s">
        <v>487</v>
      </c>
      <c r="C122" s="556" t="s">
        <v>652</v>
      </c>
    </row>
    <row r="123" spans="1:3" ht="33.75">
      <c r="A123" s="572">
        <v>9.02</v>
      </c>
      <c r="B123" s="544" t="s">
        <v>488</v>
      </c>
      <c r="C123" s="556" t="s">
        <v>655</v>
      </c>
    </row>
    <row r="124" spans="1:3">
      <c r="A124" s="572">
        <v>9.0299999999999994</v>
      </c>
      <c r="B124" s="559" t="s">
        <v>836</v>
      </c>
      <c r="C124" s="559" t="s">
        <v>578</v>
      </c>
    </row>
    <row r="125" spans="1:3">
      <c r="A125" s="572">
        <v>9.0399999999999991</v>
      </c>
      <c r="B125" s="544" t="s">
        <v>489</v>
      </c>
      <c r="C125" s="559" t="s">
        <v>579</v>
      </c>
    </row>
    <row r="126" spans="1:3">
      <c r="A126" s="572">
        <v>9.0500000000000007</v>
      </c>
      <c r="B126" s="544" t="s">
        <v>490</v>
      </c>
      <c r="C126" s="559" t="s">
        <v>580</v>
      </c>
    </row>
    <row r="127" spans="1:3" ht="22.5">
      <c r="A127" s="572">
        <v>9.06</v>
      </c>
      <c r="B127" s="544" t="s">
        <v>491</v>
      </c>
      <c r="C127" s="559" t="s">
        <v>581</v>
      </c>
    </row>
    <row r="128" spans="1:3">
      <c r="A128" s="572">
        <v>9.07</v>
      </c>
      <c r="B128" s="574" t="s">
        <v>492</v>
      </c>
      <c r="C128" s="559" t="s">
        <v>582</v>
      </c>
    </row>
    <row r="129" spans="1:3" ht="22.5">
      <c r="A129" s="572">
        <v>9.08</v>
      </c>
      <c r="B129" s="544" t="s">
        <v>493</v>
      </c>
      <c r="C129" s="559" t="s">
        <v>583</v>
      </c>
    </row>
    <row r="130" spans="1:3" ht="22.5">
      <c r="A130" s="572">
        <v>9.09</v>
      </c>
      <c r="B130" s="544" t="s">
        <v>494</v>
      </c>
      <c r="C130" s="559" t="s">
        <v>584</v>
      </c>
    </row>
    <row r="131" spans="1:3">
      <c r="A131" s="573">
        <v>9.1</v>
      </c>
      <c r="B131" s="544" t="s">
        <v>495</v>
      </c>
      <c r="C131" s="559" t="s">
        <v>585</v>
      </c>
    </row>
    <row r="132" spans="1:3">
      <c r="A132" s="572">
        <v>9.11</v>
      </c>
      <c r="B132" s="544" t="s">
        <v>496</v>
      </c>
      <c r="C132" s="559" t="s">
        <v>586</v>
      </c>
    </row>
    <row r="133" spans="1:3">
      <c r="A133" s="572">
        <v>9.1199999999999992</v>
      </c>
      <c r="B133" s="544" t="s">
        <v>497</v>
      </c>
      <c r="C133" s="559" t="s">
        <v>587</v>
      </c>
    </row>
    <row r="134" spans="1:3">
      <c r="A134" s="572">
        <v>9.1300000000000008</v>
      </c>
      <c r="B134" s="544" t="s">
        <v>498</v>
      </c>
      <c r="C134" s="559" t="s">
        <v>588</v>
      </c>
    </row>
    <row r="135" spans="1:3">
      <c r="A135" s="572">
        <v>9.14</v>
      </c>
      <c r="B135" s="544" t="s">
        <v>499</v>
      </c>
      <c r="C135" s="559" t="s">
        <v>589</v>
      </c>
    </row>
    <row r="136" spans="1:3">
      <c r="A136" s="572">
        <v>9.15</v>
      </c>
      <c r="B136" s="544" t="s">
        <v>500</v>
      </c>
      <c r="C136" s="559" t="s">
        <v>590</v>
      </c>
    </row>
    <row r="137" spans="1:3" ht="22.5">
      <c r="A137" s="572">
        <v>9.16</v>
      </c>
      <c r="B137" s="544" t="s">
        <v>501</v>
      </c>
      <c r="C137" s="559" t="s">
        <v>591</v>
      </c>
    </row>
    <row r="138" spans="1:3">
      <c r="A138" s="572">
        <v>9.17</v>
      </c>
      <c r="B138" s="559" t="s">
        <v>502</v>
      </c>
      <c r="C138" s="559" t="s">
        <v>592</v>
      </c>
    </row>
    <row r="139" spans="1:3" ht="22.5">
      <c r="A139" s="572">
        <v>9.18</v>
      </c>
      <c r="B139" s="544" t="s">
        <v>503</v>
      </c>
      <c r="C139" s="559" t="s">
        <v>593</v>
      </c>
    </row>
    <row r="140" spans="1:3">
      <c r="A140" s="572">
        <v>9.19</v>
      </c>
      <c r="B140" s="544" t="s">
        <v>504</v>
      </c>
      <c r="C140" s="559" t="s">
        <v>594</v>
      </c>
    </row>
    <row r="141" spans="1:3">
      <c r="A141" s="573">
        <v>9.1999999999999993</v>
      </c>
      <c r="B141" s="544" t="s">
        <v>505</v>
      </c>
      <c r="C141" s="559" t="s">
        <v>595</v>
      </c>
    </row>
    <row r="142" spans="1:3">
      <c r="A142" s="572">
        <v>9.2100000000000009</v>
      </c>
      <c r="B142" s="544" t="s">
        <v>506</v>
      </c>
      <c r="C142" s="559" t="s">
        <v>596</v>
      </c>
    </row>
    <row r="143" spans="1:3">
      <c r="A143" s="572">
        <v>9.2200000000000006</v>
      </c>
      <c r="B143" s="544" t="s">
        <v>507</v>
      </c>
      <c r="C143" s="559" t="s">
        <v>597</v>
      </c>
    </row>
    <row r="144" spans="1:3" ht="22.5">
      <c r="A144" s="572">
        <v>9.23</v>
      </c>
      <c r="B144" s="544" t="s">
        <v>508</v>
      </c>
      <c r="C144" s="559" t="s">
        <v>598</v>
      </c>
    </row>
    <row r="145" spans="1:3" ht="22.5">
      <c r="A145" s="572">
        <v>9.24</v>
      </c>
      <c r="B145" s="544" t="s">
        <v>509</v>
      </c>
      <c r="C145" s="559" t="s">
        <v>599</v>
      </c>
    </row>
    <row r="146" spans="1:3">
      <c r="A146" s="572">
        <v>9.2500000000000107</v>
      </c>
      <c r="B146" s="544" t="s">
        <v>510</v>
      </c>
      <c r="C146" s="559" t="s">
        <v>600</v>
      </c>
    </row>
    <row r="147" spans="1:3" ht="22.5">
      <c r="A147" s="572">
        <v>9.2600000000000193</v>
      </c>
      <c r="B147" s="544" t="s">
        <v>601</v>
      </c>
      <c r="C147" s="571" t="s">
        <v>602</v>
      </c>
    </row>
    <row r="148" spans="1:3" s="352" customFormat="1" ht="22.5">
      <c r="A148" s="572">
        <v>9.2700000000000298</v>
      </c>
      <c r="B148" s="544" t="s">
        <v>88</v>
      </c>
      <c r="C148" s="571" t="s">
        <v>653</v>
      </c>
    </row>
    <row r="149" spans="1:3" s="352" customFormat="1">
      <c r="A149" s="548"/>
      <c r="B149" s="942" t="s">
        <v>604</v>
      </c>
      <c r="C149" s="943"/>
    </row>
    <row r="150" spans="1:3" s="352" customFormat="1">
      <c r="A150" s="547">
        <v>1</v>
      </c>
      <c r="B150" s="950" t="s">
        <v>898</v>
      </c>
      <c r="C150" s="951"/>
    </row>
    <row r="151" spans="1:3" s="352" customFormat="1">
      <c r="A151" s="547">
        <v>2</v>
      </c>
      <c r="B151" s="950" t="s">
        <v>654</v>
      </c>
      <c r="C151" s="951"/>
    </row>
    <row r="152" spans="1:3" s="352" customFormat="1">
      <c r="A152" s="547">
        <v>3</v>
      </c>
      <c r="B152" s="950" t="s">
        <v>651</v>
      </c>
      <c r="C152" s="951"/>
    </row>
    <row r="153" spans="1:3" s="352" customFormat="1">
      <c r="A153" s="548"/>
      <c r="B153" s="942" t="s">
        <v>605</v>
      </c>
      <c r="C153" s="943"/>
    </row>
    <row r="154" spans="1:3" s="352" customFormat="1">
      <c r="A154" s="547">
        <v>1</v>
      </c>
      <c r="B154" s="952" t="s">
        <v>897</v>
      </c>
      <c r="C154" s="953"/>
    </row>
    <row r="155" spans="1:3" s="352" customFormat="1">
      <c r="A155" s="547">
        <v>2</v>
      </c>
      <c r="B155" s="544" t="s">
        <v>834</v>
      </c>
      <c r="C155" s="628" t="s">
        <v>963</v>
      </c>
    </row>
    <row r="156" spans="1:3" ht="22.5">
      <c r="A156" s="547">
        <v>3</v>
      </c>
      <c r="B156" s="544" t="s">
        <v>833</v>
      </c>
      <c r="C156" s="569" t="s">
        <v>896</v>
      </c>
    </row>
    <row r="157" spans="1:3">
      <c r="A157" s="547">
        <v>4</v>
      </c>
      <c r="B157" s="544" t="s">
        <v>480</v>
      </c>
      <c r="C157" s="544" t="s">
        <v>914</v>
      </c>
    </row>
    <row r="158" spans="1:3" ht="25.15" customHeight="1">
      <c r="A158" s="548"/>
      <c r="B158" s="942" t="s">
        <v>606</v>
      </c>
      <c r="C158" s="943"/>
    </row>
    <row r="159" spans="1:3" ht="33.75">
      <c r="A159" s="547"/>
      <c r="B159" s="544" t="s">
        <v>885</v>
      </c>
      <c r="C159" s="629" t="s">
        <v>964</v>
      </c>
    </row>
    <row r="160" spans="1:3">
      <c r="A160" s="548"/>
      <c r="B160" s="942" t="s">
        <v>607</v>
      </c>
      <c r="C160" s="943"/>
    </row>
    <row r="161" spans="1:3" ht="39" customHeight="1">
      <c r="A161" s="548"/>
      <c r="B161" s="944" t="s">
        <v>895</v>
      </c>
      <c r="C161" s="945"/>
    </row>
    <row r="162" spans="1:3">
      <c r="A162" s="548" t="s">
        <v>608</v>
      </c>
      <c r="B162" s="570" t="s">
        <v>518</v>
      </c>
      <c r="C162" s="561" t="s">
        <v>609</v>
      </c>
    </row>
    <row r="163" spans="1:3">
      <c r="A163" s="548" t="s">
        <v>357</v>
      </c>
      <c r="B163" s="567" t="s">
        <v>519</v>
      </c>
      <c r="C163" s="569" t="s">
        <v>894</v>
      </c>
    </row>
    <row r="164" spans="1:3" ht="22.5">
      <c r="A164" s="548" t="s">
        <v>364</v>
      </c>
      <c r="B164" s="561" t="s">
        <v>520</v>
      </c>
      <c r="C164" s="569" t="s">
        <v>610</v>
      </c>
    </row>
    <row r="165" spans="1:3">
      <c r="A165" s="548" t="s">
        <v>611</v>
      </c>
      <c r="B165" s="567" t="s">
        <v>521</v>
      </c>
      <c r="C165" s="568" t="s">
        <v>612</v>
      </c>
    </row>
    <row r="166" spans="1:3" ht="22.5">
      <c r="A166" s="548" t="s">
        <v>613</v>
      </c>
      <c r="B166" s="567" t="s">
        <v>849</v>
      </c>
      <c r="C166" s="566" t="s">
        <v>893</v>
      </c>
    </row>
    <row r="167" spans="1:3" ht="22.5">
      <c r="A167" s="548" t="s">
        <v>365</v>
      </c>
      <c r="B167" s="567" t="s">
        <v>522</v>
      </c>
      <c r="C167" s="566" t="s">
        <v>615</v>
      </c>
    </row>
    <row r="168" spans="1:3" ht="22.5">
      <c r="A168" s="548" t="s">
        <v>614</v>
      </c>
      <c r="B168" s="564" t="s">
        <v>525</v>
      </c>
      <c r="C168" s="565" t="s">
        <v>622</v>
      </c>
    </row>
    <row r="169" spans="1:3" ht="22.5">
      <c r="A169" s="548" t="s">
        <v>616</v>
      </c>
      <c r="B169" s="564" t="s">
        <v>523</v>
      </c>
      <c r="C169" s="566" t="s">
        <v>618</v>
      </c>
    </row>
    <row r="170" spans="1:3" ht="26.65" customHeight="1">
      <c r="A170" s="548" t="s">
        <v>617</v>
      </c>
      <c r="B170" s="564" t="s">
        <v>524</v>
      </c>
      <c r="C170" s="565" t="s">
        <v>620</v>
      </c>
    </row>
    <row r="171" spans="1:3" ht="22.5">
      <c r="A171" s="548" t="s">
        <v>619</v>
      </c>
      <c r="B171" s="542" t="s">
        <v>526</v>
      </c>
      <c r="C171" s="565" t="s">
        <v>624</v>
      </c>
    </row>
    <row r="172" spans="1:3" ht="22.5">
      <c r="A172" s="548" t="s">
        <v>621</v>
      </c>
      <c r="B172" s="564" t="s">
        <v>527</v>
      </c>
      <c r="C172" s="563" t="s">
        <v>625</v>
      </c>
    </row>
    <row r="173" spans="1:3">
      <c r="A173" s="548" t="s">
        <v>623</v>
      </c>
      <c r="B173" s="562" t="s">
        <v>528</v>
      </c>
      <c r="C173" s="561" t="s">
        <v>626</v>
      </c>
    </row>
    <row r="174" spans="1:3" ht="22.5">
      <c r="A174" s="548"/>
      <c r="B174" s="560" t="s">
        <v>892</v>
      </c>
      <c r="C174" s="559" t="s">
        <v>627</v>
      </c>
    </row>
    <row r="175" spans="1:3" ht="22.5">
      <c r="A175" s="548"/>
      <c r="B175" s="560" t="s">
        <v>891</v>
      </c>
      <c r="C175" s="559" t="s">
        <v>628</v>
      </c>
    </row>
    <row r="176" spans="1:3" ht="22.5">
      <c r="A176" s="548"/>
      <c r="B176" s="560" t="s">
        <v>890</v>
      </c>
      <c r="C176" s="559" t="s">
        <v>629</v>
      </c>
    </row>
    <row r="177" spans="1:3">
      <c r="A177" s="548"/>
      <c r="B177" s="942" t="s">
        <v>630</v>
      </c>
      <c r="C177" s="943"/>
    </row>
    <row r="178" spans="1:3">
      <c r="A178" s="548"/>
      <c r="B178" s="950" t="s">
        <v>889</v>
      </c>
      <c r="C178" s="951"/>
    </row>
    <row r="179" spans="1:3">
      <c r="A179" s="547">
        <v>1</v>
      </c>
      <c r="B179" s="559" t="s">
        <v>532</v>
      </c>
      <c r="C179" s="559" t="s">
        <v>532</v>
      </c>
    </row>
    <row r="180" spans="1:3" ht="33.75">
      <c r="A180" s="547">
        <v>2</v>
      </c>
      <c r="B180" s="559" t="s">
        <v>631</v>
      </c>
      <c r="C180" s="559" t="s">
        <v>632</v>
      </c>
    </row>
    <row r="181" spans="1:3">
      <c r="A181" s="547">
        <v>3</v>
      </c>
      <c r="B181" s="559" t="s">
        <v>534</v>
      </c>
      <c r="C181" s="559" t="s">
        <v>633</v>
      </c>
    </row>
    <row r="182" spans="1:3" ht="22.5">
      <c r="A182" s="547">
        <v>4</v>
      </c>
      <c r="B182" s="559" t="s">
        <v>535</v>
      </c>
      <c r="C182" s="559" t="s">
        <v>634</v>
      </c>
    </row>
    <row r="183" spans="1:3" ht="22.5">
      <c r="A183" s="547">
        <v>5</v>
      </c>
      <c r="B183" s="559" t="s">
        <v>536</v>
      </c>
      <c r="C183" s="559" t="s">
        <v>656</v>
      </c>
    </row>
    <row r="184" spans="1:3" ht="45">
      <c r="A184" s="547">
        <v>6</v>
      </c>
      <c r="B184" s="559" t="s">
        <v>537</v>
      </c>
      <c r="C184" s="559" t="s">
        <v>635</v>
      </c>
    </row>
    <row r="185" spans="1:3">
      <c r="A185" s="548"/>
      <c r="B185" s="942" t="s">
        <v>636</v>
      </c>
      <c r="C185" s="943"/>
    </row>
    <row r="186" spans="1:3">
      <c r="A186" s="548"/>
      <c r="B186" s="955" t="s">
        <v>888</v>
      </c>
      <c r="C186" s="956"/>
    </row>
    <row r="187" spans="1:3" ht="22.5">
      <c r="A187" s="548">
        <v>1.1000000000000001</v>
      </c>
      <c r="B187" s="558" t="s">
        <v>542</v>
      </c>
      <c r="C187" s="556" t="s">
        <v>637</v>
      </c>
    </row>
    <row r="188" spans="1:3" ht="49.9" customHeight="1">
      <c r="A188" s="548" t="s">
        <v>146</v>
      </c>
      <c r="B188" s="543" t="s">
        <v>543</v>
      </c>
      <c r="C188" s="556" t="s">
        <v>638</v>
      </c>
    </row>
    <row r="189" spans="1:3">
      <c r="A189" s="548" t="s">
        <v>544</v>
      </c>
      <c r="B189" s="557" t="s">
        <v>545</v>
      </c>
      <c r="C189" s="957" t="s">
        <v>887</v>
      </c>
    </row>
    <row r="190" spans="1:3">
      <c r="A190" s="548" t="s">
        <v>546</v>
      </c>
      <c r="B190" s="557" t="s">
        <v>547</v>
      </c>
      <c r="C190" s="957"/>
    </row>
    <row r="191" spans="1:3">
      <c r="A191" s="548" t="s">
        <v>548</v>
      </c>
      <c r="B191" s="557" t="s">
        <v>549</v>
      </c>
      <c r="C191" s="957"/>
    </row>
    <row r="192" spans="1:3">
      <c r="A192" s="548" t="s">
        <v>550</v>
      </c>
      <c r="B192" s="557" t="s">
        <v>551</v>
      </c>
      <c r="C192" s="957"/>
    </row>
    <row r="193" spans="1:4" ht="25.5" customHeight="1">
      <c r="A193" s="548">
        <v>1.2</v>
      </c>
      <c r="B193" s="555" t="s">
        <v>863</v>
      </c>
      <c r="C193" s="630" t="s">
        <v>965</v>
      </c>
    </row>
    <row r="194" spans="1:4" ht="22.5">
      <c r="A194" s="548" t="s">
        <v>553</v>
      </c>
      <c r="B194" s="550" t="s">
        <v>554</v>
      </c>
      <c r="C194" s="553" t="s">
        <v>639</v>
      </c>
    </row>
    <row r="195" spans="1:4" ht="22.5">
      <c r="A195" s="548" t="s">
        <v>555</v>
      </c>
      <c r="B195" s="554" t="s">
        <v>556</v>
      </c>
      <c r="C195" s="553" t="s">
        <v>640</v>
      </c>
    </row>
    <row r="196" spans="1:4" ht="25.9" customHeight="1">
      <c r="A196" s="548" t="s">
        <v>557</v>
      </c>
      <c r="B196" s="552" t="s">
        <v>558</v>
      </c>
      <c r="C196" s="541" t="s">
        <v>641</v>
      </c>
    </row>
    <row r="197" spans="1:4" ht="22.5">
      <c r="A197" s="548" t="s">
        <v>559</v>
      </c>
      <c r="B197" s="551" t="s">
        <v>560</v>
      </c>
      <c r="C197" s="541" t="s">
        <v>642</v>
      </c>
      <c r="D197" s="353"/>
    </row>
    <row r="198" spans="1:4" ht="22.5">
      <c r="A198" s="548">
        <v>1.4</v>
      </c>
      <c r="B198" s="550" t="s">
        <v>649</v>
      </c>
      <c r="C198" s="549" t="s">
        <v>643</v>
      </c>
      <c r="D198" s="354"/>
    </row>
    <row r="199" spans="1:4" ht="12.75">
      <c r="A199" s="548">
        <v>1.5</v>
      </c>
      <c r="B199" s="550" t="s">
        <v>650</v>
      </c>
      <c r="C199" s="549" t="s">
        <v>643</v>
      </c>
      <c r="D199" s="355"/>
    </row>
    <row r="200" spans="1:4" ht="12.75">
      <c r="A200" s="548"/>
      <c r="B200" s="958" t="s">
        <v>644</v>
      </c>
      <c r="C200" s="958"/>
      <c r="D200" s="355"/>
    </row>
    <row r="201" spans="1:4" ht="12.75">
      <c r="A201" s="548"/>
      <c r="B201" s="955" t="s">
        <v>886</v>
      </c>
      <c r="C201" s="955"/>
      <c r="D201" s="355"/>
    </row>
    <row r="202" spans="1:4" ht="12.75">
      <c r="A202" s="547"/>
      <c r="B202" s="544" t="s">
        <v>885</v>
      </c>
      <c r="C202" s="629" t="s">
        <v>963</v>
      </c>
      <c r="D202" s="355"/>
    </row>
    <row r="203" spans="1:4" ht="12.75">
      <c r="A203" s="548"/>
      <c r="B203" s="958" t="s">
        <v>645</v>
      </c>
      <c r="C203" s="958"/>
      <c r="D203" s="356"/>
    </row>
    <row r="204" spans="1:4" ht="12.75">
      <c r="A204" s="547"/>
      <c r="B204" s="959" t="s">
        <v>884</v>
      </c>
      <c r="C204" s="959"/>
      <c r="D204" s="357"/>
    </row>
    <row r="205" spans="1:4" ht="12.75">
      <c r="B205" s="958" t="s">
        <v>682</v>
      </c>
      <c r="C205" s="958"/>
      <c r="D205" s="358"/>
    </row>
    <row r="206" spans="1:4" ht="22.5">
      <c r="A206" s="543">
        <v>1</v>
      </c>
      <c r="B206" s="544" t="s">
        <v>658</v>
      </c>
      <c r="C206" s="541" t="s">
        <v>670</v>
      </c>
      <c r="D206" s="357"/>
    </row>
    <row r="207" spans="1:4" ht="18" customHeight="1">
      <c r="A207" s="543">
        <v>2</v>
      </c>
      <c r="B207" s="544" t="s">
        <v>659</v>
      </c>
      <c r="C207" s="541" t="s">
        <v>671</v>
      </c>
      <c r="D207" s="358"/>
    </row>
    <row r="208" spans="1:4" ht="22.5">
      <c r="A208" s="543">
        <v>3</v>
      </c>
      <c r="B208" s="544" t="s">
        <v>660</v>
      </c>
      <c r="C208" s="544" t="s">
        <v>672</v>
      </c>
      <c r="D208" s="359"/>
    </row>
    <row r="209" spans="1:4" ht="12.75">
      <c r="A209" s="543">
        <v>4</v>
      </c>
      <c r="B209" s="544" t="s">
        <v>661</v>
      </c>
      <c r="C209" s="544" t="s">
        <v>673</v>
      </c>
      <c r="D209" s="359"/>
    </row>
    <row r="210" spans="1:4" ht="22.5">
      <c r="A210" s="543">
        <v>5</v>
      </c>
      <c r="B210" s="544" t="s">
        <v>662</v>
      </c>
      <c r="C210" s="544" t="s">
        <v>674</v>
      </c>
    </row>
    <row r="211" spans="1:4" ht="24.4" customHeight="1">
      <c r="A211" s="543">
        <v>6</v>
      </c>
      <c r="B211" s="544" t="s">
        <v>663</v>
      </c>
      <c r="C211" s="544" t="s">
        <v>675</v>
      </c>
    </row>
    <row r="212" spans="1:4" ht="22.5">
      <c r="A212" s="543">
        <v>7</v>
      </c>
      <c r="B212" s="544" t="s">
        <v>664</v>
      </c>
      <c r="C212" s="544" t="s">
        <v>676</v>
      </c>
    </row>
    <row r="213" spans="1:4">
      <c r="A213" s="543">
        <v>7.1</v>
      </c>
      <c r="B213" s="546" t="s">
        <v>665</v>
      </c>
      <c r="C213" s="544" t="s">
        <v>677</v>
      </c>
    </row>
    <row r="214" spans="1:4" ht="22.5">
      <c r="A214" s="543">
        <v>7.2</v>
      </c>
      <c r="B214" s="546" t="s">
        <v>666</v>
      </c>
      <c r="C214" s="544" t="s">
        <v>678</v>
      </c>
    </row>
    <row r="215" spans="1:4">
      <c r="A215" s="543">
        <v>7.3</v>
      </c>
      <c r="B215" s="545" t="s">
        <v>667</v>
      </c>
      <c r="C215" s="544" t="s">
        <v>679</v>
      </c>
    </row>
    <row r="216" spans="1:4" ht="39.4" customHeight="1">
      <c r="A216" s="543">
        <v>8</v>
      </c>
      <c r="B216" s="544" t="s">
        <v>668</v>
      </c>
      <c r="C216" s="541" t="s">
        <v>680</v>
      </c>
    </row>
    <row r="217" spans="1:4">
      <c r="A217" s="543">
        <v>9</v>
      </c>
      <c r="B217" s="544" t="s">
        <v>669</v>
      </c>
      <c r="C217" s="541" t="s">
        <v>681</v>
      </c>
    </row>
    <row r="218" spans="1:4" ht="22.5">
      <c r="A218" s="585">
        <v>10.1</v>
      </c>
      <c r="B218" s="586" t="s">
        <v>689</v>
      </c>
      <c r="C218" s="577" t="s">
        <v>690</v>
      </c>
    </row>
    <row r="219" spans="1:4">
      <c r="A219" s="960"/>
      <c r="B219" s="587" t="s">
        <v>876</v>
      </c>
      <c r="C219" s="541" t="s">
        <v>883</v>
      </c>
    </row>
    <row r="220" spans="1:4">
      <c r="A220" s="960"/>
      <c r="B220" s="542" t="s">
        <v>541</v>
      </c>
      <c r="C220" s="541" t="s">
        <v>882</v>
      </c>
    </row>
    <row r="221" spans="1:4">
      <c r="A221" s="960"/>
      <c r="B221" s="542" t="s">
        <v>875</v>
      </c>
      <c r="C221" s="630" t="s">
        <v>966</v>
      </c>
    </row>
    <row r="222" spans="1:4">
      <c r="A222" s="960"/>
      <c r="B222" s="542" t="s">
        <v>683</v>
      </c>
      <c r="C222" s="541" t="s">
        <v>881</v>
      </c>
    </row>
    <row r="223" spans="1:4" ht="22.5">
      <c r="A223" s="960"/>
      <c r="B223" s="542" t="s">
        <v>687</v>
      </c>
      <c r="C223" s="556" t="s">
        <v>880</v>
      </c>
    </row>
    <row r="224" spans="1:4" ht="33.75">
      <c r="A224" s="960"/>
      <c r="B224" s="542" t="s">
        <v>686</v>
      </c>
      <c r="C224" s="541" t="s">
        <v>879</v>
      </c>
    </row>
    <row r="225" spans="1:3">
      <c r="A225" s="960"/>
      <c r="B225" s="542" t="s">
        <v>915</v>
      </c>
      <c r="C225" s="541" t="s">
        <v>878</v>
      </c>
    </row>
    <row r="226" spans="1:3" ht="22.5">
      <c r="A226" s="960"/>
      <c r="B226" s="542" t="s">
        <v>916</v>
      </c>
      <c r="C226" s="541" t="s">
        <v>877</v>
      </c>
    </row>
    <row r="227" spans="1:3" ht="12.75">
      <c r="A227" s="578"/>
      <c r="B227" s="579"/>
      <c r="C227" s="580"/>
    </row>
    <row r="228" spans="1:3" ht="12.75">
      <c r="A228" s="578"/>
      <c r="B228" s="580"/>
      <c r="C228" s="581"/>
    </row>
    <row r="229" spans="1:3" ht="12.75">
      <c r="A229" s="578"/>
      <c r="B229" s="580"/>
      <c r="C229" s="581"/>
    </row>
    <row r="230" spans="1:3" ht="12.75">
      <c r="A230" s="578"/>
      <c r="B230" s="582"/>
      <c r="C230" s="581"/>
    </row>
    <row r="231" spans="1:3" ht="12.75">
      <c r="A231" s="954"/>
      <c r="B231" s="583"/>
      <c r="C231" s="581"/>
    </row>
    <row r="232" spans="1:3" ht="12.75">
      <c r="A232" s="954"/>
      <c r="B232" s="583"/>
      <c r="C232" s="581"/>
    </row>
    <row r="233" spans="1:3" ht="12.75">
      <c r="A233" s="954"/>
      <c r="B233" s="583"/>
      <c r="C233" s="581"/>
    </row>
    <row r="234" spans="1:3" ht="12.75">
      <c r="A234" s="954"/>
      <c r="B234" s="583"/>
      <c r="C234" s="584"/>
    </row>
    <row r="235" spans="1:3" ht="40.5" customHeight="1">
      <c r="A235" s="954"/>
      <c r="B235" s="583"/>
      <c r="C235" s="581"/>
    </row>
    <row r="236" spans="1:3" ht="24" customHeight="1">
      <c r="A236" s="954"/>
      <c r="B236" s="583"/>
      <c r="C236" s="581"/>
    </row>
    <row r="237" spans="1:3" ht="12.75">
      <c r="A237" s="954"/>
      <c r="B237" s="583"/>
      <c r="C237" s="581"/>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5"/>
  <sheetViews>
    <sheetView zoomScale="80" zoomScaleNormal="80" workbookViewId="0">
      <selection activeCell="H6" sqref="C6:H45"/>
    </sheetView>
  </sheetViews>
  <sheetFormatPr defaultRowHeight="15"/>
  <cols>
    <col min="2" max="2" width="66.7109375" customWidth="1"/>
    <col min="3" max="8" width="17.7109375" customWidth="1"/>
  </cols>
  <sheetData>
    <row r="1" spans="1:8" ht="15.75">
      <c r="A1" s="17" t="s">
        <v>97</v>
      </c>
      <c r="B1" s="267" t="str">
        <f>Info!C2</f>
        <v>სს "ვითიბი ბანკი ჯორჯია"</v>
      </c>
      <c r="C1" s="16"/>
      <c r="D1" s="204"/>
      <c r="E1" s="204"/>
      <c r="F1" s="204"/>
      <c r="G1" s="204"/>
    </row>
    <row r="2" spans="1:8" ht="15.75">
      <c r="A2" s="17" t="s">
        <v>98</v>
      </c>
      <c r="B2" s="295">
        <f>'1. key ratios'!B2</f>
        <v>45930</v>
      </c>
      <c r="C2" s="28"/>
      <c r="D2" s="18"/>
      <c r="E2" s="18"/>
      <c r="F2" s="18"/>
      <c r="G2" s="18"/>
      <c r="H2" s="1"/>
    </row>
    <row r="3" spans="1:8" ht="15.75">
      <c r="A3" s="17"/>
      <c r="B3" s="16"/>
      <c r="C3" s="28"/>
      <c r="D3" s="18"/>
      <c r="E3" s="18"/>
      <c r="F3" s="18"/>
      <c r="G3" s="18"/>
      <c r="H3" s="1"/>
    </row>
    <row r="4" spans="1:8">
      <c r="A4" s="832" t="s">
        <v>25</v>
      </c>
      <c r="B4" s="830" t="s">
        <v>155</v>
      </c>
      <c r="C4" s="828" t="s">
        <v>103</v>
      </c>
      <c r="D4" s="828"/>
      <c r="E4" s="828"/>
      <c r="F4" s="828" t="s">
        <v>104</v>
      </c>
      <c r="G4" s="828"/>
      <c r="H4" s="829"/>
    </row>
    <row r="5" spans="1:8" ht="15.4" customHeight="1">
      <c r="A5" s="833"/>
      <c r="B5" s="831"/>
      <c r="C5" s="393" t="s">
        <v>26</v>
      </c>
      <c r="D5" s="393" t="s">
        <v>77</v>
      </c>
      <c r="E5" s="393" t="s">
        <v>66</v>
      </c>
      <c r="F5" s="393" t="s">
        <v>26</v>
      </c>
      <c r="G5" s="393" t="s">
        <v>77</v>
      </c>
      <c r="H5" s="393" t="s">
        <v>66</v>
      </c>
    </row>
    <row r="6" spans="1:8">
      <c r="A6" s="423">
        <v>1</v>
      </c>
      <c r="B6" s="394" t="s">
        <v>744</v>
      </c>
      <c r="C6" s="707">
        <v>4806879.9029553747</v>
      </c>
      <c r="D6" s="707">
        <v>5421385.3435238376</v>
      </c>
      <c r="E6" s="713">
        <f>C6+D6</f>
        <v>10228265.246479213</v>
      </c>
      <c r="F6" s="707">
        <v>7928074.3323100964</v>
      </c>
      <c r="G6" s="707">
        <v>5141604.4840352098</v>
      </c>
      <c r="H6" s="713">
        <f>F6+G6</f>
        <v>13069678.816345306</v>
      </c>
    </row>
    <row r="7" spans="1:8">
      <c r="A7" s="423">
        <v>1.1000000000000001</v>
      </c>
      <c r="B7" s="395" t="s">
        <v>698</v>
      </c>
      <c r="C7" s="707"/>
      <c r="D7" s="707"/>
      <c r="E7" s="713">
        <f t="shared" ref="E7:E45" si="0">C7+D7</f>
        <v>0</v>
      </c>
      <c r="F7" s="707"/>
      <c r="G7" s="707"/>
      <c r="H7" s="713">
        <f t="shared" ref="H7:H44" si="1">F7+G7</f>
        <v>0</v>
      </c>
    </row>
    <row r="8" spans="1:8" ht="21">
      <c r="A8" s="423">
        <v>1.2</v>
      </c>
      <c r="B8" s="395" t="s">
        <v>745</v>
      </c>
      <c r="C8" s="707">
        <v>0</v>
      </c>
      <c r="D8" s="707"/>
      <c r="E8" s="713">
        <f t="shared" si="0"/>
        <v>0</v>
      </c>
      <c r="F8" s="707">
        <v>0</v>
      </c>
      <c r="G8" s="707"/>
      <c r="H8" s="713">
        <f t="shared" si="1"/>
        <v>0</v>
      </c>
    </row>
    <row r="9" spans="1:8" ht="21.4" customHeight="1">
      <c r="A9" s="423">
        <v>1.3</v>
      </c>
      <c r="B9" s="389" t="s">
        <v>746</v>
      </c>
      <c r="C9" s="707"/>
      <c r="D9" s="707"/>
      <c r="E9" s="713">
        <f t="shared" si="0"/>
        <v>0</v>
      </c>
      <c r="F9" s="707"/>
      <c r="G9" s="707"/>
      <c r="H9" s="713">
        <f t="shared" si="1"/>
        <v>0</v>
      </c>
    </row>
    <row r="10" spans="1:8" ht="21">
      <c r="A10" s="423">
        <v>1.4</v>
      </c>
      <c r="B10" s="389" t="s">
        <v>702</v>
      </c>
      <c r="C10" s="707"/>
      <c r="D10" s="707"/>
      <c r="E10" s="713">
        <f t="shared" si="0"/>
        <v>0</v>
      </c>
      <c r="F10" s="707"/>
      <c r="G10" s="707"/>
      <c r="H10" s="713">
        <f t="shared" si="1"/>
        <v>0</v>
      </c>
    </row>
    <row r="11" spans="1:8">
      <c r="A11" s="423">
        <v>1.5</v>
      </c>
      <c r="B11" s="389" t="s">
        <v>705</v>
      </c>
      <c r="C11" s="707">
        <v>4806879.9029553747</v>
      </c>
      <c r="D11" s="707">
        <v>5421385.3435238376</v>
      </c>
      <c r="E11" s="713">
        <f t="shared" si="0"/>
        <v>10228265.246479213</v>
      </c>
      <c r="F11" s="707">
        <v>7928074.3323100964</v>
      </c>
      <c r="G11" s="707">
        <v>5141604.4840352098</v>
      </c>
      <c r="H11" s="713">
        <f t="shared" si="1"/>
        <v>13069678.816345306</v>
      </c>
    </row>
    <row r="12" spans="1:8">
      <c r="A12" s="423">
        <v>1.6</v>
      </c>
      <c r="B12" s="396" t="s">
        <v>88</v>
      </c>
      <c r="C12" s="707"/>
      <c r="D12" s="707"/>
      <c r="E12" s="713">
        <f t="shared" si="0"/>
        <v>0</v>
      </c>
      <c r="F12" s="707"/>
      <c r="G12" s="707"/>
      <c r="H12" s="713">
        <f t="shared" si="1"/>
        <v>0</v>
      </c>
    </row>
    <row r="13" spans="1:8">
      <c r="A13" s="423">
        <v>2</v>
      </c>
      <c r="B13" s="397" t="s">
        <v>747</v>
      </c>
      <c r="C13" s="707">
        <v>-697155.4800000001</v>
      </c>
      <c r="D13" s="707">
        <v>-6873300.3700000001</v>
      </c>
      <c r="E13" s="713">
        <f t="shared" si="0"/>
        <v>-7570455.8500000006</v>
      </c>
      <c r="F13" s="707">
        <v>-876969.67</v>
      </c>
      <c r="G13" s="707">
        <v>-6295027.3399999999</v>
      </c>
      <c r="H13" s="713">
        <f t="shared" si="1"/>
        <v>-7171997.0099999998</v>
      </c>
    </row>
    <row r="14" spans="1:8">
      <c r="A14" s="423">
        <v>2.1</v>
      </c>
      <c r="B14" s="389" t="s">
        <v>748</v>
      </c>
      <c r="C14" s="707"/>
      <c r="D14" s="707"/>
      <c r="E14" s="713">
        <f t="shared" si="0"/>
        <v>0</v>
      </c>
      <c r="F14" s="707"/>
      <c r="G14" s="707"/>
      <c r="H14" s="713">
        <f t="shared" si="1"/>
        <v>0</v>
      </c>
    </row>
    <row r="15" spans="1:8" ht="24.4" customHeight="1">
      <c r="A15" s="423">
        <v>2.2000000000000002</v>
      </c>
      <c r="B15" s="389" t="s">
        <v>749</v>
      </c>
      <c r="C15" s="707"/>
      <c r="D15" s="707"/>
      <c r="E15" s="713">
        <f t="shared" si="0"/>
        <v>0</v>
      </c>
      <c r="F15" s="707"/>
      <c r="G15" s="707"/>
      <c r="H15" s="713">
        <f t="shared" si="1"/>
        <v>0</v>
      </c>
    </row>
    <row r="16" spans="1:8" ht="20.65" customHeight="1">
      <c r="A16" s="423">
        <v>2.2999999999999998</v>
      </c>
      <c r="B16" s="389" t="s">
        <v>750</v>
      </c>
      <c r="C16" s="707">
        <v>-697155.4800000001</v>
      </c>
      <c r="D16" s="707">
        <v>-6873300.3700000001</v>
      </c>
      <c r="E16" s="713">
        <f t="shared" si="0"/>
        <v>-7570455.8500000006</v>
      </c>
      <c r="F16" s="707">
        <v>-876969.67</v>
      </c>
      <c r="G16" s="707">
        <v>-6295027.3399999999</v>
      </c>
      <c r="H16" s="713">
        <f t="shared" si="1"/>
        <v>-7171997.0099999998</v>
      </c>
    </row>
    <row r="17" spans="1:8">
      <c r="A17" s="423">
        <v>2.4</v>
      </c>
      <c r="B17" s="389" t="s">
        <v>751</v>
      </c>
      <c r="C17" s="707"/>
      <c r="D17" s="707">
        <v>0</v>
      </c>
      <c r="E17" s="713">
        <f t="shared" si="0"/>
        <v>0</v>
      </c>
      <c r="F17" s="707"/>
      <c r="G17" s="707">
        <v>0</v>
      </c>
      <c r="H17" s="713">
        <f t="shared" si="1"/>
        <v>0</v>
      </c>
    </row>
    <row r="18" spans="1:8">
      <c r="A18" s="423">
        <v>3</v>
      </c>
      <c r="B18" s="397" t="s">
        <v>752</v>
      </c>
      <c r="C18" s="707"/>
      <c r="D18" s="707"/>
      <c r="E18" s="713">
        <f t="shared" si="0"/>
        <v>0</v>
      </c>
      <c r="F18" s="707"/>
      <c r="G18" s="707"/>
      <c r="H18" s="713">
        <f t="shared" si="1"/>
        <v>0</v>
      </c>
    </row>
    <row r="19" spans="1:8">
      <c r="A19" s="423">
        <v>4</v>
      </c>
      <c r="B19" s="397" t="s">
        <v>753</v>
      </c>
      <c r="C19" s="707">
        <v>3281.6999999999989</v>
      </c>
      <c r="D19" s="707">
        <v>557</v>
      </c>
      <c r="E19" s="713">
        <f t="shared" si="0"/>
        <v>3838.6999999999989</v>
      </c>
      <c r="F19" s="707">
        <v>33597.51</v>
      </c>
      <c r="G19" s="707">
        <v>0</v>
      </c>
      <c r="H19" s="713">
        <f t="shared" si="1"/>
        <v>33597.51</v>
      </c>
    </row>
    <row r="20" spans="1:8">
      <c r="A20" s="423">
        <v>5</v>
      </c>
      <c r="B20" s="397" t="s">
        <v>754</v>
      </c>
      <c r="C20" s="707">
        <v>-5892.26</v>
      </c>
      <c r="D20" s="707">
        <v>0</v>
      </c>
      <c r="E20" s="713">
        <f t="shared" si="0"/>
        <v>-5892.26</v>
      </c>
      <c r="F20" s="707">
        <v>-11971.99</v>
      </c>
      <c r="G20" s="707">
        <v>0</v>
      </c>
      <c r="H20" s="713">
        <f t="shared" si="1"/>
        <v>-11971.99</v>
      </c>
    </row>
    <row r="21" spans="1:8" ht="38.65" customHeight="1">
      <c r="A21" s="423">
        <v>6</v>
      </c>
      <c r="B21" s="397" t="s">
        <v>755</v>
      </c>
      <c r="C21" s="707">
        <v>11400</v>
      </c>
      <c r="D21" s="707">
        <v>178</v>
      </c>
      <c r="E21" s="713">
        <f t="shared" si="0"/>
        <v>11578</v>
      </c>
      <c r="F21" s="707">
        <v>0</v>
      </c>
      <c r="G21" s="707">
        <v>0</v>
      </c>
      <c r="H21" s="713">
        <f t="shared" si="1"/>
        <v>0</v>
      </c>
    </row>
    <row r="22" spans="1:8" ht="27.4" customHeight="1">
      <c r="A22" s="423">
        <v>7</v>
      </c>
      <c r="B22" s="397" t="s">
        <v>756</v>
      </c>
      <c r="C22" s="707"/>
      <c r="D22" s="707"/>
      <c r="E22" s="713">
        <f t="shared" si="0"/>
        <v>0</v>
      </c>
      <c r="F22" s="707"/>
      <c r="G22" s="707"/>
      <c r="H22" s="713">
        <f t="shared" si="1"/>
        <v>0</v>
      </c>
    </row>
    <row r="23" spans="1:8" ht="37.15" customHeight="1">
      <c r="A23" s="423">
        <v>8</v>
      </c>
      <c r="B23" s="398" t="s">
        <v>757</v>
      </c>
      <c r="C23" s="707"/>
      <c r="D23" s="707"/>
      <c r="E23" s="713">
        <f t="shared" si="0"/>
        <v>0</v>
      </c>
      <c r="F23" s="707"/>
      <c r="G23" s="707"/>
      <c r="H23" s="713">
        <f t="shared" si="1"/>
        <v>0</v>
      </c>
    </row>
    <row r="24" spans="1:8" ht="34.5" customHeight="1">
      <c r="A24" s="423">
        <v>9</v>
      </c>
      <c r="B24" s="398" t="s">
        <v>758</v>
      </c>
      <c r="C24" s="707"/>
      <c r="D24" s="707"/>
      <c r="E24" s="713">
        <f t="shared" si="0"/>
        <v>0</v>
      </c>
      <c r="F24" s="707"/>
      <c r="G24" s="707"/>
      <c r="H24" s="713">
        <f t="shared" si="1"/>
        <v>0</v>
      </c>
    </row>
    <row r="25" spans="1:8">
      <c r="A25" s="423">
        <v>10</v>
      </c>
      <c r="B25" s="397" t="s">
        <v>759</v>
      </c>
      <c r="C25" s="707">
        <v>-26265933.952166408</v>
      </c>
      <c r="D25" s="707">
        <v>0</v>
      </c>
      <c r="E25" s="713">
        <f t="shared" si="0"/>
        <v>-26265933.952166408</v>
      </c>
      <c r="F25" s="707">
        <v>5326306.6326399148</v>
      </c>
      <c r="G25" s="707">
        <v>0</v>
      </c>
      <c r="H25" s="713">
        <f t="shared" si="1"/>
        <v>5326306.6326399148</v>
      </c>
    </row>
    <row r="26" spans="1:8" ht="27" customHeight="1">
      <c r="A26" s="423">
        <v>11</v>
      </c>
      <c r="B26" s="399" t="s">
        <v>760</v>
      </c>
      <c r="C26" s="707">
        <v>0</v>
      </c>
      <c r="D26" s="707">
        <v>0</v>
      </c>
      <c r="E26" s="713">
        <f t="shared" si="0"/>
        <v>0</v>
      </c>
      <c r="F26" s="707">
        <v>2778.58</v>
      </c>
      <c r="G26" s="707">
        <v>0</v>
      </c>
      <c r="H26" s="713">
        <f t="shared" si="1"/>
        <v>2778.58</v>
      </c>
    </row>
    <row r="27" spans="1:8">
      <c r="A27" s="423">
        <v>12</v>
      </c>
      <c r="B27" s="397" t="s">
        <v>761</v>
      </c>
      <c r="C27" s="707">
        <v>0</v>
      </c>
      <c r="D27" s="707">
        <v>0</v>
      </c>
      <c r="E27" s="713">
        <f t="shared" si="0"/>
        <v>0</v>
      </c>
      <c r="F27" s="707">
        <v>10490.54</v>
      </c>
      <c r="G27" s="707">
        <v>0</v>
      </c>
      <c r="H27" s="713">
        <f t="shared" si="1"/>
        <v>10490.54</v>
      </c>
    </row>
    <row r="28" spans="1:8">
      <c r="A28" s="423">
        <v>13</v>
      </c>
      <c r="B28" s="400" t="s">
        <v>762</v>
      </c>
      <c r="C28" s="707">
        <v>-2386101</v>
      </c>
      <c r="D28" s="707">
        <v>-60009</v>
      </c>
      <c r="E28" s="713">
        <f t="shared" si="0"/>
        <v>-2446110</v>
      </c>
      <c r="F28" s="707">
        <v>-2713231.1399999997</v>
      </c>
      <c r="G28" s="707">
        <v>0</v>
      </c>
      <c r="H28" s="713">
        <f t="shared" si="1"/>
        <v>-2713231.1399999997</v>
      </c>
    </row>
    <row r="29" spans="1:8">
      <c r="A29" s="423">
        <v>14</v>
      </c>
      <c r="B29" s="401" t="s">
        <v>763</v>
      </c>
      <c r="C29" s="707">
        <v>-5544666</v>
      </c>
      <c r="D29" s="707">
        <v>0</v>
      </c>
      <c r="E29" s="713">
        <f t="shared" si="0"/>
        <v>-5544666</v>
      </c>
      <c r="F29" s="707">
        <v>-5557323</v>
      </c>
      <c r="G29" s="707">
        <v>0</v>
      </c>
      <c r="H29" s="713">
        <f t="shared" si="1"/>
        <v>-5557323</v>
      </c>
    </row>
    <row r="30" spans="1:8">
      <c r="A30" s="423">
        <v>14.1</v>
      </c>
      <c r="B30" s="372" t="s">
        <v>764</v>
      </c>
      <c r="C30" s="707">
        <v>-5544666</v>
      </c>
      <c r="D30" s="707">
        <v>0</v>
      </c>
      <c r="E30" s="713">
        <f t="shared" si="0"/>
        <v>-5544666</v>
      </c>
      <c r="F30" s="707">
        <v>-5557323</v>
      </c>
      <c r="G30" s="707">
        <v>0</v>
      </c>
      <c r="H30" s="713">
        <f t="shared" si="1"/>
        <v>-5557323</v>
      </c>
    </row>
    <row r="31" spans="1:8">
      <c r="A31" s="423">
        <v>14.2</v>
      </c>
      <c r="B31" s="372" t="s">
        <v>765</v>
      </c>
      <c r="C31" s="707">
        <v>0</v>
      </c>
      <c r="D31" s="707"/>
      <c r="E31" s="713">
        <f t="shared" si="0"/>
        <v>0</v>
      </c>
      <c r="F31" s="707">
        <v>0</v>
      </c>
      <c r="G31" s="707"/>
      <c r="H31" s="713">
        <f t="shared" si="1"/>
        <v>0</v>
      </c>
    </row>
    <row r="32" spans="1:8">
      <c r="A32" s="423">
        <v>15</v>
      </c>
      <c r="B32" s="402" t="s">
        <v>766</v>
      </c>
      <c r="C32" s="707">
        <v>-1054605</v>
      </c>
      <c r="D32" s="707">
        <v>0</v>
      </c>
      <c r="E32" s="713">
        <f t="shared" si="0"/>
        <v>-1054605</v>
      </c>
      <c r="F32" s="707">
        <v>-998941</v>
      </c>
      <c r="G32" s="707">
        <v>0</v>
      </c>
      <c r="H32" s="713">
        <f t="shared" si="1"/>
        <v>-998941</v>
      </c>
    </row>
    <row r="33" spans="1:8" ht="22.5" customHeight="1">
      <c r="A33" s="423">
        <v>16</v>
      </c>
      <c r="B33" s="368" t="s">
        <v>767</v>
      </c>
      <c r="C33" s="707">
        <v>-389578.684534</v>
      </c>
      <c r="D33" s="707">
        <v>-307923.79359700001</v>
      </c>
      <c r="E33" s="713">
        <f t="shared" si="0"/>
        <v>-697502.47813099995</v>
      </c>
      <c r="F33" s="707">
        <v>-185600.2795899997</v>
      </c>
      <c r="G33" s="707">
        <v>0</v>
      </c>
      <c r="H33" s="713">
        <f t="shared" si="1"/>
        <v>-185600.2795899997</v>
      </c>
    </row>
    <row r="34" spans="1:8">
      <c r="A34" s="423">
        <v>17</v>
      </c>
      <c r="B34" s="397" t="s">
        <v>768</v>
      </c>
      <c r="C34" s="707">
        <v>81442.066406822894</v>
      </c>
      <c r="D34" s="707">
        <v>0</v>
      </c>
      <c r="E34" s="713">
        <f t="shared" si="0"/>
        <v>81442.066406822894</v>
      </c>
      <c r="F34" s="707">
        <v>0</v>
      </c>
      <c r="G34" s="707">
        <v>0</v>
      </c>
      <c r="H34" s="713">
        <f t="shared" si="1"/>
        <v>0</v>
      </c>
    </row>
    <row r="35" spans="1:8">
      <c r="A35" s="423">
        <v>17.100000000000001</v>
      </c>
      <c r="B35" s="403" t="s">
        <v>769</v>
      </c>
      <c r="C35" s="707">
        <v>81442.066406822894</v>
      </c>
      <c r="D35" s="707"/>
      <c r="E35" s="713">
        <f t="shared" si="0"/>
        <v>81442.066406822894</v>
      </c>
      <c r="F35" s="707"/>
      <c r="G35" s="707"/>
      <c r="H35" s="713">
        <f t="shared" si="1"/>
        <v>0</v>
      </c>
    </row>
    <row r="36" spans="1:8">
      <c r="A36" s="423">
        <v>17.2</v>
      </c>
      <c r="B36" s="372" t="s">
        <v>770</v>
      </c>
      <c r="C36" s="707"/>
      <c r="D36" s="707">
        <v>0</v>
      </c>
      <c r="E36" s="713">
        <f t="shared" si="0"/>
        <v>0</v>
      </c>
      <c r="F36" s="707"/>
      <c r="G36" s="707">
        <v>0</v>
      </c>
      <c r="H36" s="713">
        <f t="shared" si="1"/>
        <v>0</v>
      </c>
    </row>
    <row r="37" spans="1:8" ht="41.65" customHeight="1">
      <c r="A37" s="423">
        <v>18</v>
      </c>
      <c r="B37" s="404" t="s">
        <v>771</v>
      </c>
      <c r="C37" s="707">
        <v>-7524402.4100000001</v>
      </c>
      <c r="D37" s="707">
        <v>0</v>
      </c>
      <c r="E37" s="713">
        <f t="shared" si="0"/>
        <v>-7524402.4100000001</v>
      </c>
      <c r="F37" s="707">
        <v>-2310483.9433052791</v>
      </c>
      <c r="G37" s="714">
        <v>0</v>
      </c>
      <c r="H37" s="713">
        <f t="shared" si="1"/>
        <v>-2310483.9433052791</v>
      </c>
    </row>
    <row r="38" spans="1:8" ht="21">
      <c r="A38" s="423">
        <v>18.100000000000001</v>
      </c>
      <c r="B38" s="389" t="s">
        <v>772</v>
      </c>
      <c r="C38" s="707"/>
      <c r="D38" s="707"/>
      <c r="E38" s="713">
        <f t="shared" si="0"/>
        <v>0</v>
      </c>
      <c r="F38" s="707"/>
      <c r="G38" s="707"/>
      <c r="H38" s="713">
        <f t="shared" si="1"/>
        <v>0</v>
      </c>
    </row>
    <row r="39" spans="1:8">
      <c r="A39" s="423">
        <v>18.2</v>
      </c>
      <c r="B39" s="389" t="s">
        <v>773</v>
      </c>
      <c r="C39" s="707">
        <v>-7524402.4100000001</v>
      </c>
      <c r="D39" s="707">
        <v>0</v>
      </c>
      <c r="E39" s="713">
        <f t="shared" si="0"/>
        <v>-7524402.4100000001</v>
      </c>
      <c r="F39" s="707">
        <v>-2310483.9433052791</v>
      </c>
      <c r="G39" s="707">
        <v>0</v>
      </c>
      <c r="H39" s="713">
        <f t="shared" si="1"/>
        <v>-2310483.9433052791</v>
      </c>
    </row>
    <row r="40" spans="1:8" ht="24.4" customHeight="1">
      <c r="A40" s="423">
        <v>19</v>
      </c>
      <c r="B40" s="404" t="s">
        <v>774</v>
      </c>
      <c r="C40" s="707"/>
      <c r="D40" s="707"/>
      <c r="E40" s="713">
        <f t="shared" si="0"/>
        <v>0</v>
      </c>
      <c r="F40" s="707"/>
      <c r="G40" s="707"/>
      <c r="H40" s="713">
        <f t="shared" si="1"/>
        <v>0</v>
      </c>
    </row>
    <row r="41" spans="1:8" ht="25.15" customHeight="1">
      <c r="A41" s="423">
        <v>20</v>
      </c>
      <c r="B41" s="404" t="s">
        <v>775</v>
      </c>
      <c r="C41" s="707"/>
      <c r="D41" s="707"/>
      <c r="E41" s="713">
        <f t="shared" si="0"/>
        <v>0</v>
      </c>
      <c r="F41" s="707"/>
      <c r="G41" s="707"/>
      <c r="H41" s="713">
        <f t="shared" si="1"/>
        <v>0</v>
      </c>
    </row>
    <row r="42" spans="1:8" ht="33" customHeight="1">
      <c r="A42" s="423">
        <v>21</v>
      </c>
      <c r="B42" s="405" t="s">
        <v>776</v>
      </c>
      <c r="C42" s="707"/>
      <c r="D42" s="707"/>
      <c r="E42" s="713">
        <f t="shared" si="0"/>
        <v>0</v>
      </c>
      <c r="F42" s="707"/>
      <c r="G42" s="707"/>
      <c r="H42" s="713">
        <f t="shared" si="1"/>
        <v>0</v>
      </c>
    </row>
    <row r="43" spans="1:8">
      <c r="A43" s="423">
        <v>22</v>
      </c>
      <c r="B43" s="406" t="s">
        <v>777</v>
      </c>
      <c r="C43" s="707">
        <v>-38965331.11733821</v>
      </c>
      <c r="D43" s="707">
        <v>-1819112.8200731624</v>
      </c>
      <c r="E43" s="713">
        <f t="shared" si="0"/>
        <v>-40784443.937411375</v>
      </c>
      <c r="F43" s="707">
        <v>646726.57205473352</v>
      </c>
      <c r="G43" s="707">
        <v>-1153422.8559647901</v>
      </c>
      <c r="H43" s="713">
        <f t="shared" si="1"/>
        <v>-506696.28391005658</v>
      </c>
    </row>
    <row r="44" spans="1:8">
      <c r="A44" s="423">
        <v>23</v>
      </c>
      <c r="B44" s="406" t="s">
        <v>778</v>
      </c>
      <c r="C44" s="707">
        <v>375229</v>
      </c>
      <c r="D44" s="707">
        <v>0</v>
      </c>
      <c r="E44" s="713">
        <f t="shared" si="0"/>
        <v>375229</v>
      </c>
      <c r="F44" s="707">
        <v>-62342</v>
      </c>
      <c r="G44" s="707">
        <v>0</v>
      </c>
      <c r="H44" s="713">
        <f t="shared" si="1"/>
        <v>-62342</v>
      </c>
    </row>
    <row r="45" spans="1:8">
      <c r="A45" s="423">
        <v>24</v>
      </c>
      <c r="B45" s="406" t="s">
        <v>779</v>
      </c>
      <c r="C45" s="715">
        <v>-39340560.11733821</v>
      </c>
      <c r="D45" s="715">
        <v>-1819112.8200731624</v>
      </c>
      <c r="E45" s="713">
        <f t="shared" si="0"/>
        <v>-41159672.937411375</v>
      </c>
      <c r="F45" s="715">
        <v>709068.57205473352</v>
      </c>
      <c r="G45" s="715">
        <v>-1153422.8559647901</v>
      </c>
      <c r="H45" s="713">
        <f>F45+G45</f>
        <v>-444354.28391005658</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zoomScale="80" zoomScaleNormal="80" workbookViewId="0"/>
  </sheetViews>
  <sheetFormatPr defaultRowHeight="15"/>
  <cols>
    <col min="1" max="1" width="8.7109375" style="420"/>
    <col min="2" max="2" width="99.28515625" customWidth="1"/>
    <col min="3" max="3" width="12.7109375" customWidth="1"/>
    <col min="4" max="5" width="13.85546875" bestFit="1" customWidth="1"/>
    <col min="6" max="6" width="12.7109375" customWidth="1"/>
    <col min="7" max="8" width="13.85546875" bestFit="1" customWidth="1"/>
  </cols>
  <sheetData>
    <row r="1" spans="1:8" ht="15.75">
      <c r="A1" s="17" t="s">
        <v>97</v>
      </c>
      <c r="B1" s="267" t="str">
        <f>Info!C2</f>
        <v>სს "ვითიბი ბანკი ჯორჯია"</v>
      </c>
      <c r="C1" s="16"/>
      <c r="D1" s="204"/>
      <c r="E1" s="204"/>
      <c r="F1" s="204"/>
      <c r="G1" s="204"/>
    </row>
    <row r="2" spans="1:8" ht="15.75">
      <c r="A2" s="17" t="s">
        <v>98</v>
      </c>
      <c r="B2" s="295">
        <f>'1. key ratios'!B2</f>
        <v>45930</v>
      </c>
      <c r="C2" s="28"/>
      <c r="D2" s="18"/>
      <c r="E2" s="18"/>
      <c r="F2" s="18"/>
      <c r="G2" s="18"/>
      <c r="H2" s="1"/>
    </row>
    <row r="3" spans="1:8" ht="15.75">
      <c r="A3" s="17"/>
      <c r="B3" s="16"/>
      <c r="C3" s="28"/>
      <c r="D3" s="18"/>
      <c r="E3" s="18"/>
      <c r="F3" s="18"/>
      <c r="G3" s="18"/>
      <c r="H3" s="1"/>
    </row>
    <row r="4" spans="1:8" ht="15.75">
      <c r="A4" s="825" t="s">
        <v>25</v>
      </c>
      <c r="B4" s="834" t="s">
        <v>140</v>
      </c>
      <c r="C4" s="835" t="s">
        <v>103</v>
      </c>
      <c r="D4" s="835"/>
      <c r="E4" s="835"/>
      <c r="F4" s="835" t="s">
        <v>104</v>
      </c>
      <c r="G4" s="835"/>
      <c r="H4" s="836"/>
    </row>
    <row r="5" spans="1:8">
      <c r="A5" s="825"/>
      <c r="B5" s="834"/>
      <c r="C5" s="393" t="s">
        <v>26</v>
      </c>
      <c r="D5" s="393" t="s">
        <v>77</v>
      </c>
      <c r="E5" s="393" t="s">
        <v>66</v>
      </c>
      <c r="F5" s="393" t="s">
        <v>26</v>
      </c>
      <c r="G5" s="393" t="s">
        <v>77</v>
      </c>
      <c r="H5" s="407" t="s">
        <v>66</v>
      </c>
    </row>
    <row r="6" spans="1:8" ht="15.75">
      <c r="A6" s="408">
        <v>1</v>
      </c>
      <c r="B6" s="412" t="s">
        <v>780</v>
      </c>
      <c r="C6" s="409">
        <v>0</v>
      </c>
      <c r="D6" s="409">
        <v>0</v>
      </c>
      <c r="E6" s="410">
        <f t="shared" ref="E6:E43" si="0">C6+D6</f>
        <v>0</v>
      </c>
      <c r="F6" s="409"/>
      <c r="G6" s="409"/>
      <c r="H6" s="411">
        <f t="shared" ref="H6:H43" si="1">F6+G6</f>
        <v>0</v>
      </c>
    </row>
    <row r="7" spans="1:8" ht="15.75">
      <c r="A7" s="408">
        <v>2</v>
      </c>
      <c r="B7" s="412" t="s">
        <v>166</v>
      </c>
      <c r="C7" s="409">
        <v>0</v>
      </c>
      <c r="D7" s="409">
        <v>0</v>
      </c>
      <c r="E7" s="410">
        <f t="shared" si="0"/>
        <v>0</v>
      </c>
      <c r="F7" s="409"/>
      <c r="G7" s="409"/>
      <c r="H7" s="411">
        <f t="shared" si="1"/>
        <v>0</v>
      </c>
    </row>
    <row r="8" spans="1:8" ht="15.75">
      <c r="A8" s="408">
        <v>3</v>
      </c>
      <c r="B8" s="412" t="s">
        <v>168</v>
      </c>
      <c r="C8" s="409">
        <v>31252157</v>
      </c>
      <c r="D8" s="409">
        <v>3168303963</v>
      </c>
      <c r="E8" s="410">
        <f t="shared" si="0"/>
        <v>3199556120</v>
      </c>
      <c r="F8" s="409">
        <v>31427497</v>
      </c>
      <c r="G8" s="409">
        <v>3199604036</v>
      </c>
      <c r="H8" s="411">
        <f t="shared" si="1"/>
        <v>3231031533</v>
      </c>
    </row>
    <row r="9" spans="1:8" ht="15.75">
      <c r="A9" s="408">
        <v>3.1</v>
      </c>
      <c r="B9" s="413" t="s">
        <v>781</v>
      </c>
      <c r="C9" s="409">
        <v>31252157</v>
      </c>
      <c r="D9" s="409">
        <v>3110950811.48</v>
      </c>
      <c r="E9" s="410">
        <f t="shared" si="0"/>
        <v>3142202968.48</v>
      </c>
      <c r="F9" s="409">
        <v>31427497</v>
      </c>
      <c r="G9" s="409">
        <v>3191873361.8179998</v>
      </c>
      <c r="H9" s="411">
        <f t="shared" si="1"/>
        <v>3223300858.8179998</v>
      </c>
    </row>
    <row r="10" spans="1:8" ht="15.75">
      <c r="A10" s="408">
        <v>3.2</v>
      </c>
      <c r="B10" s="413" t="s">
        <v>782</v>
      </c>
      <c r="C10" s="409">
        <v>0</v>
      </c>
      <c r="D10" s="409">
        <v>57353151.520000003</v>
      </c>
      <c r="E10" s="410">
        <f t="shared" si="0"/>
        <v>57353151.520000003</v>
      </c>
      <c r="F10" s="409">
        <v>0</v>
      </c>
      <c r="G10" s="409">
        <v>7730674.182</v>
      </c>
      <c r="H10" s="411">
        <f t="shared" si="1"/>
        <v>7730674.182</v>
      </c>
    </row>
    <row r="11" spans="1:8" ht="25.9" customHeight="1">
      <c r="A11" s="408">
        <v>4</v>
      </c>
      <c r="B11" s="412" t="s">
        <v>167</v>
      </c>
      <c r="C11" s="409">
        <f>C12+C13</f>
        <v>0</v>
      </c>
      <c r="D11" s="409">
        <f>D12+D13</f>
        <v>0</v>
      </c>
      <c r="E11" s="410">
        <f t="shared" si="0"/>
        <v>0</v>
      </c>
      <c r="F11" s="409">
        <v>0</v>
      </c>
      <c r="G11" s="409">
        <v>0</v>
      </c>
      <c r="H11" s="411">
        <f t="shared" si="1"/>
        <v>0</v>
      </c>
    </row>
    <row r="12" spans="1:8" ht="15.75">
      <c r="A12" s="408">
        <v>4.0999999999999996</v>
      </c>
      <c r="B12" s="413" t="s">
        <v>783</v>
      </c>
      <c r="C12" s="409">
        <v>0</v>
      </c>
      <c r="D12" s="409">
        <v>0</v>
      </c>
      <c r="E12" s="410">
        <f t="shared" si="0"/>
        <v>0</v>
      </c>
      <c r="F12" s="409">
        <v>0</v>
      </c>
      <c r="G12" s="409">
        <v>0</v>
      </c>
      <c r="H12" s="411">
        <f t="shared" si="1"/>
        <v>0</v>
      </c>
    </row>
    <row r="13" spans="1:8" ht="15.75">
      <c r="A13" s="408">
        <v>4.2</v>
      </c>
      <c r="B13" s="413" t="s">
        <v>784</v>
      </c>
      <c r="C13" s="409">
        <v>0</v>
      </c>
      <c r="D13" s="409">
        <v>0</v>
      </c>
      <c r="E13" s="410">
        <f t="shared" si="0"/>
        <v>0</v>
      </c>
      <c r="F13" s="409">
        <v>0</v>
      </c>
      <c r="G13" s="409">
        <v>0</v>
      </c>
      <c r="H13" s="411">
        <f t="shared" si="1"/>
        <v>0</v>
      </c>
    </row>
    <row r="14" spans="1:8" ht="15.75">
      <c r="A14" s="408">
        <v>5</v>
      </c>
      <c r="B14" s="414" t="s">
        <v>785</v>
      </c>
      <c r="C14" s="409">
        <f>C15+C16+C17+C23+C24+C25+C26</f>
        <v>24287780</v>
      </c>
      <c r="D14" s="409">
        <f>D15+D16+D17+D23+D24+D25+D26</f>
        <v>560984767.7105</v>
      </c>
      <c r="E14" s="410">
        <f t="shared" si="0"/>
        <v>585272547.7105</v>
      </c>
      <c r="F14" s="409">
        <v>24287780</v>
      </c>
      <c r="G14" s="409">
        <v>593308658.9476999</v>
      </c>
      <c r="H14" s="411">
        <f t="shared" si="1"/>
        <v>617596438.9476999</v>
      </c>
    </row>
    <row r="15" spans="1:8" ht="15.75">
      <c r="A15" s="408">
        <v>5.0999999999999996</v>
      </c>
      <c r="B15" s="415" t="s">
        <v>786</v>
      </c>
      <c r="C15" s="409">
        <v>230000</v>
      </c>
      <c r="D15" s="409">
        <v>270880</v>
      </c>
      <c r="E15" s="410">
        <f t="shared" si="0"/>
        <v>500880</v>
      </c>
      <c r="F15" s="409">
        <v>230000</v>
      </c>
      <c r="G15" s="409">
        <v>618251.8003</v>
      </c>
      <c r="H15" s="411">
        <f t="shared" si="1"/>
        <v>848251.8003</v>
      </c>
    </row>
    <row r="16" spans="1:8" ht="15.75">
      <c r="A16" s="408">
        <v>5.2</v>
      </c>
      <c r="B16" s="415" t="s">
        <v>787</v>
      </c>
      <c r="C16" s="409">
        <v>0</v>
      </c>
      <c r="D16" s="409">
        <v>72453.709300000002</v>
      </c>
      <c r="E16" s="410">
        <f t="shared" si="0"/>
        <v>72453.709300000002</v>
      </c>
      <c r="F16" s="409">
        <v>0</v>
      </c>
      <c r="G16" s="409">
        <v>73012.732699999993</v>
      </c>
      <c r="H16" s="411">
        <f t="shared" si="1"/>
        <v>73012.732699999993</v>
      </c>
    </row>
    <row r="17" spans="1:8" ht="15.75">
      <c r="A17" s="408">
        <v>5.3</v>
      </c>
      <c r="B17" s="415" t="s">
        <v>788</v>
      </c>
      <c r="C17" s="409">
        <v>23225400</v>
      </c>
      <c r="D17" s="409">
        <v>382462772.21599996</v>
      </c>
      <c r="E17" s="410">
        <f t="shared" si="0"/>
        <v>405688172.21599996</v>
      </c>
      <c r="F17" s="409">
        <v>23225400</v>
      </c>
      <c r="G17" s="409">
        <v>399264986.22479999</v>
      </c>
      <c r="H17" s="411">
        <f t="shared" si="1"/>
        <v>422490386.22479999</v>
      </c>
    </row>
    <row r="18" spans="1:8" ht="15.75">
      <c r="A18" s="408" t="s">
        <v>169</v>
      </c>
      <c r="B18" s="416" t="s">
        <v>789</v>
      </c>
      <c r="C18" s="409">
        <v>138000</v>
      </c>
      <c r="D18" s="409">
        <v>31215669.440000001</v>
      </c>
      <c r="E18" s="410">
        <f t="shared" si="0"/>
        <v>31353669.440000001</v>
      </c>
      <c r="F18" s="409">
        <v>138000</v>
      </c>
      <c r="G18" s="409">
        <v>34122614.850000001</v>
      </c>
      <c r="H18" s="411">
        <f t="shared" si="1"/>
        <v>34260614.850000001</v>
      </c>
    </row>
    <row r="19" spans="1:8" ht="15.75">
      <c r="A19" s="408" t="s">
        <v>170</v>
      </c>
      <c r="B19" s="417" t="s">
        <v>790</v>
      </c>
      <c r="C19" s="409">
        <v>23074400</v>
      </c>
      <c r="D19" s="409">
        <v>253359340.74239999</v>
      </c>
      <c r="E19" s="410">
        <f t="shared" si="0"/>
        <v>276433740.74239999</v>
      </c>
      <c r="F19" s="409">
        <v>23074400</v>
      </c>
      <c r="G19" s="409">
        <v>265217924.97</v>
      </c>
      <c r="H19" s="411">
        <f t="shared" si="1"/>
        <v>288292324.97000003</v>
      </c>
    </row>
    <row r="20" spans="1:8" ht="15.75">
      <c r="A20" s="408" t="s">
        <v>171</v>
      </c>
      <c r="B20" s="417" t="s">
        <v>791</v>
      </c>
      <c r="C20" s="409">
        <v>0</v>
      </c>
      <c r="D20" s="409">
        <v>17899750.399999999</v>
      </c>
      <c r="E20" s="410">
        <f t="shared" si="0"/>
        <v>17899750.399999999</v>
      </c>
      <c r="F20" s="409">
        <v>0</v>
      </c>
      <c r="G20" s="409">
        <v>18037857.600000001</v>
      </c>
      <c r="H20" s="411">
        <f t="shared" si="1"/>
        <v>18037857.600000001</v>
      </c>
    </row>
    <row r="21" spans="1:8" ht="15.75">
      <c r="A21" s="408" t="s">
        <v>172</v>
      </c>
      <c r="B21" s="417" t="s">
        <v>792</v>
      </c>
      <c r="C21" s="409">
        <v>13000</v>
      </c>
      <c r="D21" s="409">
        <v>39078354.215999998</v>
      </c>
      <c r="E21" s="410">
        <f t="shared" si="0"/>
        <v>39091354.215999998</v>
      </c>
      <c r="F21" s="409">
        <v>13000</v>
      </c>
      <c r="G21" s="409">
        <v>39973404.6954</v>
      </c>
      <c r="H21" s="411">
        <f t="shared" si="1"/>
        <v>39986404.6954</v>
      </c>
    </row>
    <row r="22" spans="1:8" ht="15.75">
      <c r="A22" s="408" t="s">
        <v>173</v>
      </c>
      <c r="B22" s="417" t="s">
        <v>510</v>
      </c>
      <c r="C22" s="409">
        <v>0</v>
      </c>
      <c r="D22" s="409">
        <v>40909657.417599998</v>
      </c>
      <c r="E22" s="410">
        <f t="shared" si="0"/>
        <v>40909657.417599998</v>
      </c>
      <c r="F22" s="409">
        <v>0</v>
      </c>
      <c r="G22" s="409">
        <v>41913184.109399997</v>
      </c>
      <c r="H22" s="411">
        <f t="shared" si="1"/>
        <v>41913184.109399997</v>
      </c>
    </row>
    <row r="23" spans="1:8" ht="15.75">
      <c r="A23" s="408">
        <v>5.4</v>
      </c>
      <c r="B23" s="415" t="s">
        <v>793</v>
      </c>
      <c r="C23" s="409">
        <v>804767</v>
      </c>
      <c r="D23" s="409">
        <v>116029646.3392</v>
      </c>
      <c r="E23" s="410">
        <f t="shared" si="0"/>
        <v>116834413.3392</v>
      </c>
      <c r="F23" s="409">
        <v>804767</v>
      </c>
      <c r="G23" s="409">
        <v>130723876.19670001</v>
      </c>
      <c r="H23" s="411">
        <f t="shared" si="1"/>
        <v>131528643.19670001</v>
      </c>
    </row>
    <row r="24" spans="1:8" ht="15.75">
      <c r="A24" s="408">
        <v>5.5</v>
      </c>
      <c r="B24" s="415" t="s">
        <v>794</v>
      </c>
      <c r="C24" s="409">
        <v>5</v>
      </c>
      <c r="D24" s="409">
        <v>54176002.708800003</v>
      </c>
      <c r="E24" s="410">
        <f t="shared" si="0"/>
        <v>54176007.708800003</v>
      </c>
      <c r="F24" s="409">
        <v>5</v>
      </c>
      <c r="G24" s="409">
        <v>54594002.729699999</v>
      </c>
      <c r="H24" s="411">
        <f t="shared" si="1"/>
        <v>54594007.729699999</v>
      </c>
    </row>
    <row r="25" spans="1:8" ht="15.75">
      <c r="A25" s="408">
        <v>5.6</v>
      </c>
      <c r="B25" s="415" t="s">
        <v>795</v>
      </c>
      <c r="C25" s="409">
        <v>0</v>
      </c>
      <c r="D25" s="409">
        <v>7584640</v>
      </c>
      <c r="E25" s="410">
        <f t="shared" si="0"/>
        <v>7584640</v>
      </c>
      <c r="F25" s="409">
        <v>0</v>
      </c>
      <c r="G25" s="409">
        <v>7643160</v>
      </c>
      <c r="H25" s="411">
        <f t="shared" si="1"/>
        <v>7643160</v>
      </c>
    </row>
    <row r="26" spans="1:8" ht="15.75">
      <c r="A26" s="408">
        <v>5.7</v>
      </c>
      <c r="B26" s="415" t="s">
        <v>510</v>
      </c>
      <c r="C26" s="409">
        <v>27608</v>
      </c>
      <c r="D26" s="409">
        <v>388372.73719999997</v>
      </c>
      <c r="E26" s="410">
        <f t="shared" si="0"/>
        <v>415980.73719999997</v>
      </c>
      <c r="F26" s="409">
        <v>27608</v>
      </c>
      <c r="G26" s="409">
        <v>391369.2635</v>
      </c>
      <c r="H26" s="411">
        <f t="shared" si="1"/>
        <v>418977.2635</v>
      </c>
    </row>
    <row r="27" spans="1:8" ht="15.75">
      <c r="A27" s="408">
        <v>6</v>
      </c>
      <c r="B27" s="414" t="s">
        <v>796</v>
      </c>
      <c r="C27" s="409">
        <v>47145.18</v>
      </c>
      <c r="D27" s="409">
        <v>0</v>
      </c>
      <c r="E27" s="410">
        <f t="shared" si="0"/>
        <v>47145.18</v>
      </c>
      <c r="F27" s="409">
        <v>47145.18</v>
      </c>
      <c r="G27" s="409">
        <v>0</v>
      </c>
      <c r="H27" s="411">
        <f t="shared" si="1"/>
        <v>47145.18</v>
      </c>
    </row>
    <row r="28" spans="1:8" ht="15.75">
      <c r="A28" s="408">
        <v>7</v>
      </c>
      <c r="B28" s="414" t="s">
        <v>797</v>
      </c>
      <c r="C28" s="409">
        <v>200000</v>
      </c>
      <c r="D28" s="409">
        <v>0</v>
      </c>
      <c r="E28" s="410">
        <f t="shared" si="0"/>
        <v>200000</v>
      </c>
      <c r="F28" s="409">
        <v>200000</v>
      </c>
      <c r="G28" s="409">
        <v>15801</v>
      </c>
      <c r="H28" s="411">
        <f t="shared" si="1"/>
        <v>215801</v>
      </c>
    </row>
    <row r="29" spans="1:8" ht="15.75">
      <c r="A29" s="408">
        <v>8</v>
      </c>
      <c r="B29" s="414" t="s">
        <v>798</v>
      </c>
      <c r="C29" s="409">
        <v>0</v>
      </c>
      <c r="D29" s="409">
        <v>0</v>
      </c>
      <c r="E29" s="410">
        <f t="shared" si="0"/>
        <v>0</v>
      </c>
      <c r="F29" s="409"/>
      <c r="G29" s="409"/>
      <c r="H29" s="411">
        <f t="shared" si="1"/>
        <v>0</v>
      </c>
    </row>
    <row r="30" spans="1:8" ht="15.75">
      <c r="A30" s="408">
        <v>9</v>
      </c>
      <c r="B30" s="412" t="s">
        <v>174</v>
      </c>
      <c r="C30" s="409">
        <f>C31+C32+C33+C34+C35+C36+C37</f>
        <v>0</v>
      </c>
      <c r="D30" s="409">
        <f>D31+D32+D33+D34+D35+D36+D37</f>
        <v>0</v>
      </c>
      <c r="E30" s="410">
        <f t="shared" si="0"/>
        <v>0</v>
      </c>
      <c r="F30" s="409">
        <v>0</v>
      </c>
      <c r="G30" s="409">
        <v>0</v>
      </c>
      <c r="H30" s="411">
        <f t="shared" si="1"/>
        <v>0</v>
      </c>
    </row>
    <row r="31" spans="1:8" ht="15.75">
      <c r="A31" s="408">
        <v>9.1</v>
      </c>
      <c r="B31" s="413" t="s">
        <v>799</v>
      </c>
      <c r="C31" s="409">
        <v>0</v>
      </c>
      <c r="D31" s="409">
        <v>0</v>
      </c>
      <c r="E31" s="410">
        <f t="shared" si="0"/>
        <v>0</v>
      </c>
      <c r="F31" s="409"/>
      <c r="G31" s="409"/>
      <c r="H31" s="411">
        <f t="shared" si="1"/>
        <v>0</v>
      </c>
    </row>
    <row r="32" spans="1:8" ht="15.75">
      <c r="A32" s="408">
        <v>9.1999999999999993</v>
      </c>
      <c r="B32" s="413" t="s">
        <v>800</v>
      </c>
      <c r="C32" s="409">
        <v>0</v>
      </c>
      <c r="D32" s="409">
        <v>0</v>
      </c>
      <c r="E32" s="410">
        <f t="shared" si="0"/>
        <v>0</v>
      </c>
      <c r="F32" s="409"/>
      <c r="G32" s="409"/>
      <c r="H32" s="411">
        <f t="shared" si="1"/>
        <v>0</v>
      </c>
    </row>
    <row r="33" spans="1:8" ht="15.75">
      <c r="A33" s="408">
        <v>9.3000000000000007</v>
      </c>
      <c r="B33" s="413" t="s">
        <v>801</v>
      </c>
      <c r="C33" s="409">
        <v>0</v>
      </c>
      <c r="D33" s="409">
        <v>0</v>
      </c>
      <c r="E33" s="410">
        <f t="shared" si="0"/>
        <v>0</v>
      </c>
      <c r="F33" s="409"/>
      <c r="G33" s="409"/>
      <c r="H33" s="411">
        <f t="shared" si="1"/>
        <v>0</v>
      </c>
    </row>
    <row r="34" spans="1:8" ht="15.75">
      <c r="A34" s="408">
        <v>9.4</v>
      </c>
      <c r="B34" s="413" t="s">
        <v>802</v>
      </c>
      <c r="C34" s="409">
        <v>0</v>
      </c>
      <c r="D34" s="409">
        <v>0</v>
      </c>
      <c r="E34" s="410">
        <f t="shared" si="0"/>
        <v>0</v>
      </c>
      <c r="F34" s="409"/>
      <c r="G34" s="409"/>
      <c r="H34" s="411">
        <f t="shared" si="1"/>
        <v>0</v>
      </c>
    </row>
    <row r="35" spans="1:8" ht="15.75">
      <c r="A35" s="408">
        <v>9.5</v>
      </c>
      <c r="B35" s="413" t="s">
        <v>803</v>
      </c>
      <c r="C35" s="409">
        <v>0</v>
      </c>
      <c r="D35" s="409">
        <v>0</v>
      </c>
      <c r="E35" s="410">
        <f t="shared" si="0"/>
        <v>0</v>
      </c>
      <c r="F35" s="409"/>
      <c r="G35" s="409"/>
      <c r="H35" s="411">
        <f t="shared" si="1"/>
        <v>0</v>
      </c>
    </row>
    <row r="36" spans="1:8" ht="25.5">
      <c r="A36" s="408">
        <v>9.6</v>
      </c>
      <c r="B36" s="413" t="s">
        <v>804</v>
      </c>
      <c r="C36" s="409">
        <v>0</v>
      </c>
      <c r="D36" s="409">
        <v>0</v>
      </c>
      <c r="E36" s="410">
        <f t="shared" si="0"/>
        <v>0</v>
      </c>
      <c r="F36" s="409"/>
      <c r="G36" s="409"/>
      <c r="H36" s="411">
        <f t="shared" si="1"/>
        <v>0</v>
      </c>
    </row>
    <row r="37" spans="1:8" ht="25.5">
      <c r="A37" s="408">
        <v>9.6999999999999993</v>
      </c>
      <c r="B37" s="413" t="s">
        <v>805</v>
      </c>
      <c r="C37" s="409">
        <v>0</v>
      </c>
      <c r="D37" s="409">
        <v>0</v>
      </c>
      <c r="E37" s="410">
        <f t="shared" si="0"/>
        <v>0</v>
      </c>
      <c r="F37" s="409"/>
      <c r="G37" s="409"/>
      <c r="H37" s="411">
        <f t="shared" si="1"/>
        <v>0</v>
      </c>
    </row>
    <row r="38" spans="1:8" ht="15.75">
      <c r="A38" s="408">
        <v>10</v>
      </c>
      <c r="B38" s="418" t="s">
        <v>806</v>
      </c>
      <c r="C38" s="632">
        <f>C41+C42</f>
        <v>19851176</v>
      </c>
      <c r="D38" s="632">
        <f>D41+D42</f>
        <v>14058445</v>
      </c>
      <c r="E38" s="410">
        <f t="shared" si="0"/>
        <v>33909621</v>
      </c>
      <c r="F38" s="632">
        <v>20938486.259999998</v>
      </c>
      <c r="G38" s="632">
        <v>11488566.74</v>
      </c>
      <c r="H38" s="411">
        <f t="shared" si="1"/>
        <v>32427053</v>
      </c>
    </row>
    <row r="39" spans="1:8" ht="15.75">
      <c r="A39" s="408">
        <v>10.1</v>
      </c>
      <c r="B39" s="413" t="s">
        <v>807</v>
      </c>
      <c r="C39" s="409">
        <v>0</v>
      </c>
      <c r="D39" s="409">
        <v>0</v>
      </c>
      <c r="E39" s="410">
        <f t="shared" si="0"/>
        <v>0</v>
      </c>
      <c r="F39" s="409">
        <v>0</v>
      </c>
      <c r="G39" s="409">
        <v>0</v>
      </c>
      <c r="H39" s="411">
        <f t="shared" si="1"/>
        <v>0</v>
      </c>
    </row>
    <row r="40" spans="1:8" ht="25.5">
      <c r="A40" s="408">
        <v>10.199999999999999</v>
      </c>
      <c r="B40" s="413" t="s">
        <v>808</v>
      </c>
      <c r="C40" s="409">
        <v>0</v>
      </c>
      <c r="D40" s="409">
        <v>0</v>
      </c>
      <c r="E40" s="410">
        <f t="shared" si="0"/>
        <v>0</v>
      </c>
      <c r="F40" s="409">
        <v>0</v>
      </c>
      <c r="G40" s="409">
        <v>0</v>
      </c>
      <c r="H40" s="411">
        <f t="shared" si="1"/>
        <v>0</v>
      </c>
    </row>
    <row r="41" spans="1:8" ht="25.5">
      <c r="A41" s="408">
        <v>10.3</v>
      </c>
      <c r="B41" s="413" t="s">
        <v>809</v>
      </c>
      <c r="C41" s="409">
        <v>10894439</v>
      </c>
      <c r="D41" s="409">
        <v>1859761</v>
      </c>
      <c r="E41" s="410">
        <f t="shared" si="0"/>
        <v>12754200</v>
      </c>
      <c r="F41" s="409">
        <v>11048291.51</v>
      </c>
      <c r="G41" s="409">
        <v>1870154.5799999998</v>
      </c>
      <c r="H41" s="411">
        <f t="shared" si="1"/>
        <v>12918446.09</v>
      </c>
    </row>
    <row r="42" spans="1:8" ht="25.5">
      <c r="A42" s="408">
        <v>10.4</v>
      </c>
      <c r="B42" s="413" t="s">
        <v>810</v>
      </c>
      <c r="C42" s="409">
        <v>8956737</v>
      </c>
      <c r="D42" s="409">
        <v>12198684</v>
      </c>
      <c r="E42" s="410">
        <f t="shared" si="0"/>
        <v>21155421</v>
      </c>
      <c r="F42" s="409">
        <v>9890194.75</v>
      </c>
      <c r="G42" s="409">
        <v>9618412.1600000001</v>
      </c>
      <c r="H42" s="411">
        <f t="shared" si="1"/>
        <v>19508606.91</v>
      </c>
    </row>
    <row r="43" spans="1:8" ht="15.75">
      <c r="A43" s="408">
        <v>11</v>
      </c>
      <c r="B43" s="419" t="s">
        <v>175</v>
      </c>
      <c r="C43" s="409">
        <v>0</v>
      </c>
      <c r="D43" s="409">
        <v>0</v>
      </c>
      <c r="E43" s="410">
        <f t="shared" si="0"/>
        <v>0</v>
      </c>
      <c r="F43" s="409"/>
      <c r="G43" s="409"/>
      <c r="H43" s="411">
        <f t="shared" si="1"/>
        <v>0</v>
      </c>
    </row>
    <row r="44" spans="1:8" ht="15.75">
      <c r="C44" s="421"/>
      <c r="D44" s="421"/>
      <c r="E44" s="421"/>
      <c r="F44" s="421"/>
      <c r="G44" s="421"/>
      <c r="H44" s="421"/>
    </row>
    <row r="45" spans="1:8" ht="15.75">
      <c r="C45" s="421"/>
      <c r="D45" s="421"/>
      <c r="E45" s="421"/>
      <c r="F45" s="421"/>
      <c r="G45" s="421"/>
      <c r="H45" s="421"/>
    </row>
    <row r="46" spans="1:8" ht="15.75">
      <c r="C46" s="421"/>
      <c r="D46" s="421"/>
      <c r="E46" s="421"/>
      <c r="F46" s="421"/>
      <c r="G46" s="421"/>
      <c r="H46" s="421"/>
    </row>
    <row r="47" spans="1:8" ht="15.75">
      <c r="C47" s="421"/>
      <c r="D47" s="421"/>
      <c r="E47" s="421"/>
      <c r="F47" s="421"/>
      <c r="G47" s="421"/>
      <c r="H47" s="421"/>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C7" sqref="C7:G12"/>
    </sheetView>
  </sheetViews>
  <sheetFormatPr defaultColWidth="9.28515625" defaultRowHeight="12.75"/>
  <cols>
    <col min="1" max="1" width="9.5703125" style="2" bestFit="1" customWidth="1"/>
    <col min="2" max="2" width="93.5703125" style="2" customWidth="1"/>
    <col min="3" max="3" width="12.7109375" style="2" customWidth="1"/>
    <col min="4" max="4" width="11.7109375" style="2" bestFit="1" customWidth="1"/>
    <col min="5" max="7" width="11.7109375" style="12" bestFit="1" customWidth="1"/>
    <col min="8" max="11" width="9.7109375" style="12" customWidth="1"/>
    <col min="12" max="16384" width="9.28515625" style="12"/>
  </cols>
  <sheetData>
    <row r="1" spans="1:8" ht="15">
      <c r="A1" s="17" t="s">
        <v>97</v>
      </c>
      <c r="B1" s="16" t="str">
        <f>Info!C2</f>
        <v>სს "ვითიბი ბანკი ჯორჯია"</v>
      </c>
      <c r="C1" s="16"/>
      <c r="D1" s="204"/>
    </row>
    <row r="2" spans="1:8" ht="15">
      <c r="A2" s="17" t="s">
        <v>98</v>
      </c>
      <c r="B2" s="295">
        <f>'1. key ratios'!B2</f>
        <v>45930</v>
      </c>
      <c r="C2" s="28"/>
      <c r="D2" s="18"/>
      <c r="E2" s="11"/>
      <c r="F2" s="11"/>
      <c r="G2" s="11"/>
      <c r="H2" s="11"/>
    </row>
    <row r="3" spans="1:8" ht="15">
      <c r="A3" s="17"/>
      <c r="B3" s="16"/>
      <c r="C3" s="28"/>
      <c r="D3" s="18"/>
      <c r="E3" s="11"/>
      <c r="F3" s="11"/>
      <c r="G3" s="11"/>
      <c r="H3" s="11"/>
    </row>
    <row r="4" spans="1:8" ht="15" customHeight="1" thickBot="1">
      <c r="A4" s="129" t="s">
        <v>242</v>
      </c>
      <c r="B4" s="130" t="s">
        <v>96</v>
      </c>
      <c r="C4" s="131" t="s">
        <v>76</v>
      </c>
    </row>
    <row r="5" spans="1:8" ht="15" customHeight="1">
      <c r="A5" s="127" t="s">
        <v>25</v>
      </c>
      <c r="B5" s="128"/>
      <c r="C5" s="285" t="str">
        <f>INT((MONTH($B$2))/3)&amp;"Q"&amp;"-"&amp;YEAR($B$2)</f>
        <v>3Q-2025</v>
      </c>
      <c r="D5" s="285" t="str">
        <f>IF(INT(MONTH($B$2))=3, "4"&amp;"Q"&amp;"-"&amp;YEAR($B$2)-1, IF(INT(MONTH($B$2))=6, "1"&amp;"Q"&amp;"-"&amp;YEAR($B$2), IF(INT(MONTH($B$2))=9, "2"&amp;"Q"&amp;"-"&amp;YEAR($B$2),IF(INT(MONTH($B$2))=12, "3"&amp;"Q"&amp;"-"&amp;YEAR($B$2), 0))))</f>
        <v>2Q-2025</v>
      </c>
      <c r="E5" s="285" t="str">
        <f>IF(INT(MONTH($B$2))=3, "3"&amp;"Q"&amp;"-"&amp;YEAR($B$2)-1, IF(INT(MONTH($B$2))=6, "4"&amp;"Q"&amp;"-"&amp;YEAR($B$2)-1, IF(INT(MONTH($B$2))=9, "1"&amp;"Q"&amp;"-"&amp;YEAR($B$2),IF(INT(MONTH($B$2))=12, "2"&amp;"Q"&amp;"-"&amp;YEAR($B$2), 0))))</f>
        <v>1Q-2025</v>
      </c>
      <c r="F5" s="285" t="str">
        <f>IF(INT(MONTH($B$2))=3, "2"&amp;"Q"&amp;"-"&amp;YEAR($B$2)-1, IF(INT(MONTH($B$2))=6, "3"&amp;"Q"&amp;"-"&amp;YEAR($B$2)-1, IF(INT(MONTH($B$2))=9, "4"&amp;"Q"&amp;"-"&amp;YEAR($B$2)-1,IF(INT(MONTH($B$2))=12, "1"&amp;"Q"&amp;"-"&amp;YEAR($B$2), 0))))</f>
        <v>4Q-2024</v>
      </c>
      <c r="G5" s="285" t="str">
        <f>IF(INT(MONTH($B$2))=3, "1"&amp;"Q"&amp;"-"&amp;YEAR($B$2)-1, IF(INT(MONTH($B$2))=6, "2"&amp;"Q"&amp;"-"&amp;YEAR($B$2)-1, IF(INT(MONTH($B$2))=9, "3"&amp;"Q"&amp;"-"&amp;YEAR($B$2)-1,IF(INT(MONTH($B$2))=12, "4"&amp;"Q"&amp;"-"&amp;YEAR($B$2)-1, 0))))</f>
        <v>3Q-2024</v>
      </c>
    </row>
    <row r="6" spans="1:8" ht="15" customHeight="1">
      <c r="A6" s="239">
        <v>1</v>
      </c>
      <c r="B6" s="273" t="s">
        <v>101</v>
      </c>
      <c r="C6" s="240">
        <f>C7+C9+C10</f>
        <v>249282646.96077809</v>
      </c>
      <c r="D6" s="276">
        <f>D7+D9+D10</f>
        <v>264290089.38661459</v>
      </c>
      <c r="E6" s="241">
        <f t="shared" ref="E6:G6" si="0">E7+E9+E10</f>
        <v>280677683.8740586</v>
      </c>
      <c r="F6" s="240">
        <f t="shared" si="0"/>
        <v>289607085.6474117</v>
      </c>
      <c r="G6" s="277">
        <f t="shared" si="0"/>
        <v>300815922.62531</v>
      </c>
    </row>
    <row r="7" spans="1:8" ht="15" customHeight="1">
      <c r="A7" s="239">
        <v>1.1000000000000001</v>
      </c>
      <c r="B7" s="242" t="s">
        <v>995</v>
      </c>
      <c r="C7" s="243">
        <v>249201334.04974455</v>
      </c>
      <c r="D7" s="725">
        <v>264208834.92428532</v>
      </c>
      <c r="E7" s="725">
        <v>280585092.70082432</v>
      </c>
      <c r="F7" s="725">
        <v>289514442.48778641</v>
      </c>
      <c r="G7" s="725">
        <v>300723402.82530999</v>
      </c>
    </row>
    <row r="8" spans="1:8" ht="25.5">
      <c r="A8" s="239" t="s">
        <v>146</v>
      </c>
      <c r="B8" s="244" t="s">
        <v>239</v>
      </c>
      <c r="C8" s="243">
        <v>0</v>
      </c>
      <c r="D8" s="725">
        <v>0</v>
      </c>
      <c r="E8" s="725">
        <v>707862.5</v>
      </c>
      <c r="F8" s="725">
        <v>792472.5</v>
      </c>
      <c r="G8" s="725">
        <v>0</v>
      </c>
    </row>
    <row r="9" spans="1:8" ht="15" customHeight="1">
      <c r="A9" s="239">
        <v>1.2</v>
      </c>
      <c r="B9" s="242" t="s">
        <v>21</v>
      </c>
      <c r="C9" s="243">
        <v>81312.911033548167</v>
      </c>
      <c r="D9" s="725">
        <v>81254.462329269038</v>
      </c>
      <c r="E9" s="725">
        <v>92591.173234302783</v>
      </c>
      <c r="F9" s="725">
        <v>92643.159625306376</v>
      </c>
      <c r="G9" s="725">
        <v>92519.8</v>
      </c>
    </row>
    <row r="10" spans="1:8" ht="15" customHeight="1">
      <c r="A10" s="239">
        <v>1.3</v>
      </c>
      <c r="B10" s="274" t="s">
        <v>73</v>
      </c>
      <c r="C10" s="726">
        <v>0</v>
      </c>
      <c r="D10" s="726">
        <v>0</v>
      </c>
      <c r="E10" s="726">
        <v>0</v>
      </c>
      <c r="F10" s="726">
        <v>0</v>
      </c>
      <c r="G10" s="726">
        <v>0</v>
      </c>
    </row>
    <row r="11" spans="1:8" ht="15" customHeight="1">
      <c r="A11" s="239">
        <v>2</v>
      </c>
      <c r="B11" s="273" t="s">
        <v>102</v>
      </c>
      <c r="C11" s="243">
        <v>181583088.24552819</v>
      </c>
      <c r="D11" s="725">
        <v>183235672.72748604</v>
      </c>
      <c r="E11" s="725">
        <v>186403342.12812796</v>
      </c>
      <c r="F11" s="725">
        <v>186812095.97714475</v>
      </c>
      <c r="G11" s="725">
        <v>188868827.36185053</v>
      </c>
    </row>
    <row r="12" spans="1:8" ht="15" customHeight="1">
      <c r="A12" s="255">
        <v>3</v>
      </c>
      <c r="B12" s="275" t="s">
        <v>100</v>
      </c>
      <c r="C12" s="245">
        <v>61890734.110378385</v>
      </c>
      <c r="D12" s="726">
        <v>61890734.110378385</v>
      </c>
      <c r="E12" s="726">
        <v>61890734.110378385</v>
      </c>
      <c r="F12" s="726">
        <v>61890734.110378385</v>
      </c>
      <c r="G12" s="726">
        <v>94935796.149143949</v>
      </c>
    </row>
    <row r="13" spans="1:8" ht="15" customHeight="1" thickBot="1">
      <c r="A13" s="71">
        <v>4</v>
      </c>
      <c r="B13" s="280" t="s">
        <v>147</v>
      </c>
      <c r="C13" s="149">
        <f>C6+C11+C12</f>
        <v>492756469.31668466</v>
      </c>
      <c r="D13" s="278">
        <f>D6+D11+D12</f>
        <v>509416496.22447902</v>
      </c>
      <c r="E13" s="150">
        <f t="shared" ref="E13:G13" si="1">E6+E11+E12</f>
        <v>528971760.11256492</v>
      </c>
      <c r="F13" s="149">
        <f t="shared" si="1"/>
        <v>538309915.73493481</v>
      </c>
      <c r="G13" s="279">
        <f t="shared" si="1"/>
        <v>584620546.1363045</v>
      </c>
    </row>
    <row r="14" spans="1:8">
      <c r="B14" s="23"/>
      <c r="C14" s="727">
        <f>C13-'1. key ratios'!C15</f>
        <v>0</v>
      </c>
      <c r="D14" s="727">
        <f>D13-'1. key ratios'!D15</f>
        <v>0</v>
      </c>
      <c r="E14" s="727">
        <f>E13-'1. key ratios'!E15</f>
        <v>0</v>
      </c>
      <c r="F14" s="727">
        <f>F13-'1. key ratios'!F15</f>
        <v>0</v>
      </c>
      <c r="G14" s="727">
        <f>G13-'1. key ratios'!G15</f>
        <v>0</v>
      </c>
    </row>
    <row r="15" spans="1:8">
      <c r="B15" s="63"/>
    </row>
    <row r="16" spans="1:8">
      <c r="B16" s="63"/>
    </row>
    <row r="17" spans="2:2">
      <c r="B17" s="63"/>
    </row>
    <row r="18" spans="2:2">
      <c r="B18" s="6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activeCell="C7" sqref="C7"/>
    </sheetView>
  </sheetViews>
  <sheetFormatPr defaultRowHeight="15"/>
  <cols>
    <col min="1" max="1" width="9.5703125" style="2" bestFit="1" customWidth="1"/>
    <col min="2" max="2" width="58.7109375" style="2" customWidth="1"/>
    <col min="3" max="3" width="34.28515625" style="2" customWidth="1"/>
  </cols>
  <sheetData>
    <row r="1" spans="1:8">
      <c r="A1" s="2" t="s">
        <v>97</v>
      </c>
      <c r="B1" s="204" t="str">
        <f>Info!C2</f>
        <v>სს "ვითიბი ბანკი ჯორჯია"</v>
      </c>
    </row>
    <row r="2" spans="1:8">
      <c r="A2" s="2" t="s">
        <v>98</v>
      </c>
      <c r="B2" s="295">
        <f>'1. key ratios'!B2</f>
        <v>45930</v>
      </c>
    </row>
    <row r="4" spans="1:8" ht="25.5" customHeight="1" thickBot="1">
      <c r="A4" s="143" t="s">
        <v>243</v>
      </c>
      <c r="B4" s="30" t="s">
        <v>80</v>
      </c>
      <c r="C4" s="13"/>
    </row>
    <row r="5" spans="1:8" ht="15.75">
      <c r="A5" s="10"/>
      <c r="B5" s="269" t="s">
        <v>81</v>
      </c>
      <c r="C5" s="284" t="s">
        <v>419</v>
      </c>
    </row>
    <row r="6" spans="1:8">
      <c r="A6" s="716">
        <v>1</v>
      </c>
      <c r="B6" s="717" t="s">
        <v>1006</v>
      </c>
      <c r="C6" s="718" t="s">
        <v>1007</v>
      </c>
    </row>
    <row r="7" spans="1:8">
      <c r="A7" s="716">
        <v>2</v>
      </c>
      <c r="B7" s="717" t="s">
        <v>1008</v>
      </c>
      <c r="C7" s="718" t="s">
        <v>1009</v>
      </c>
    </row>
    <row r="8" spans="1:8">
      <c r="A8" s="716">
        <v>3</v>
      </c>
      <c r="B8" s="717" t="s">
        <v>1010</v>
      </c>
      <c r="C8" s="718" t="s">
        <v>1009</v>
      </c>
    </row>
    <row r="9" spans="1:8">
      <c r="A9" s="716">
        <v>4</v>
      </c>
      <c r="B9" s="717" t="s">
        <v>1011</v>
      </c>
      <c r="C9" s="718" t="s">
        <v>1009</v>
      </c>
    </row>
    <row r="10" spans="1:8">
      <c r="A10" s="716">
        <v>5</v>
      </c>
      <c r="B10" s="717"/>
      <c r="C10" s="718"/>
    </row>
    <row r="11" spans="1:8">
      <c r="A11" s="716">
        <v>6</v>
      </c>
      <c r="B11" s="717"/>
      <c r="C11" s="718"/>
    </row>
    <row r="12" spans="1:8">
      <c r="A12" s="716">
        <v>7</v>
      </c>
      <c r="B12" s="717"/>
      <c r="C12" s="718"/>
      <c r="H12" s="4"/>
    </row>
    <row r="13" spans="1:8">
      <c r="A13" s="716">
        <v>8</v>
      </c>
      <c r="B13" s="717"/>
      <c r="C13" s="718"/>
    </row>
    <row r="14" spans="1:8">
      <c r="A14" s="716">
        <v>9</v>
      </c>
      <c r="B14" s="717"/>
      <c r="C14" s="718"/>
    </row>
    <row r="15" spans="1:8">
      <c r="A15" s="716">
        <v>10</v>
      </c>
      <c r="B15" s="717"/>
      <c r="C15" s="718"/>
    </row>
    <row r="16" spans="1:8">
      <c r="A16" s="716"/>
      <c r="B16" s="837"/>
      <c r="C16" s="838"/>
    </row>
    <row r="17" spans="1:3" ht="60">
      <c r="A17" s="716"/>
      <c r="B17" s="719" t="s">
        <v>82</v>
      </c>
      <c r="C17" s="720" t="s">
        <v>420</v>
      </c>
    </row>
    <row r="18" spans="1:3" ht="15.75">
      <c r="A18" s="716">
        <v>1</v>
      </c>
      <c r="B18" s="721" t="s">
        <v>1012</v>
      </c>
      <c r="C18" s="722" t="s">
        <v>1013</v>
      </c>
    </row>
    <row r="19" spans="1:3" ht="15.75">
      <c r="A19" s="716">
        <v>2</v>
      </c>
      <c r="B19" s="721" t="s">
        <v>1014</v>
      </c>
      <c r="C19" s="722" t="s">
        <v>1015</v>
      </c>
    </row>
    <row r="20" spans="1:3" ht="15.75">
      <c r="A20" s="716">
        <v>3</v>
      </c>
      <c r="B20" s="721" t="s">
        <v>1016</v>
      </c>
      <c r="C20" s="722" t="s">
        <v>1017</v>
      </c>
    </row>
    <row r="21" spans="1:3" ht="15.75">
      <c r="A21" s="716">
        <v>4</v>
      </c>
      <c r="B21" s="721" t="s">
        <v>1018</v>
      </c>
      <c r="C21" s="722" t="s">
        <v>1019</v>
      </c>
    </row>
    <row r="22" spans="1:3" ht="15.75">
      <c r="A22" s="716">
        <v>5</v>
      </c>
      <c r="B22" s="721" t="s">
        <v>1020</v>
      </c>
      <c r="C22" s="722" t="s">
        <v>1021</v>
      </c>
    </row>
    <row r="23" spans="1:3" ht="15.75">
      <c r="A23" s="716">
        <v>6</v>
      </c>
      <c r="B23" s="721" t="s">
        <v>1022</v>
      </c>
      <c r="C23" s="722" t="s">
        <v>1023</v>
      </c>
    </row>
    <row r="24" spans="1:3" ht="15.75">
      <c r="A24" s="14">
        <v>7</v>
      </c>
      <c r="B24" s="26"/>
      <c r="C24" s="282"/>
    </row>
    <row r="25" spans="1:3" ht="15.75">
      <c r="A25" s="14">
        <v>8</v>
      </c>
      <c r="B25" s="26"/>
      <c r="C25" s="282"/>
    </row>
    <row r="26" spans="1:3" ht="15.75">
      <c r="A26" s="14">
        <v>9</v>
      </c>
      <c r="B26" s="26"/>
      <c r="C26" s="282"/>
    </row>
    <row r="27" spans="1:3" ht="15.75" customHeight="1">
      <c r="A27" s="14">
        <v>10</v>
      </c>
      <c r="B27" s="26"/>
      <c r="C27" s="283"/>
    </row>
    <row r="28" spans="1:3" ht="15.75" customHeight="1">
      <c r="A28" s="14"/>
      <c r="B28" s="26"/>
      <c r="C28" s="27"/>
    </row>
    <row r="29" spans="1:3" ht="30" customHeight="1">
      <c r="A29" s="14"/>
      <c r="B29" s="841" t="s">
        <v>83</v>
      </c>
      <c r="C29" s="840"/>
    </row>
    <row r="30" spans="1:3">
      <c r="A30" s="716">
        <v>1</v>
      </c>
      <c r="B30" s="717" t="s">
        <v>1024</v>
      </c>
      <c r="C30" s="723">
        <v>0.97384321770185212</v>
      </c>
    </row>
    <row r="31" spans="1:3" ht="15.75" customHeight="1">
      <c r="A31" s="716">
        <v>2</v>
      </c>
      <c r="B31" s="717" t="s">
        <v>1025</v>
      </c>
      <c r="C31" s="723">
        <v>1.472765597699272E-2</v>
      </c>
    </row>
    <row r="32" spans="1:3" ht="29.25" customHeight="1">
      <c r="A32" s="716"/>
      <c r="B32" s="839" t="s">
        <v>163</v>
      </c>
      <c r="C32" s="840"/>
    </row>
    <row r="33" spans="1:3">
      <c r="A33" s="716">
        <v>1</v>
      </c>
      <c r="B33" s="717" t="s">
        <v>1026</v>
      </c>
      <c r="C33" s="724">
        <v>0.60183510853974465</v>
      </c>
    </row>
    <row r="34" spans="1:3" ht="16.5" thickBot="1">
      <c r="A34" s="15"/>
      <c r="B34" s="31"/>
      <c r="C34" s="281"/>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3"/>
  <sheetViews>
    <sheetView zoomScale="70" zoomScaleNormal="70" workbookViewId="0">
      <pane xSplit="1" ySplit="5" topLeftCell="B9" activePane="bottomRight" state="frozen"/>
      <selection activeCell="H6" sqref="H6"/>
      <selection pane="topRight" activeCell="H6" sqref="H6"/>
      <selection pane="bottomLeft" activeCell="H6" sqref="H6"/>
      <selection pane="bottomRight" activeCell="C8" sqref="C8:E36"/>
    </sheetView>
  </sheetViews>
  <sheetFormatPr defaultRowHeight="15"/>
  <cols>
    <col min="1" max="1" width="9.5703125" style="2" bestFit="1" customWidth="1"/>
    <col min="2" max="2" width="47.5703125" style="2" customWidth="1"/>
    <col min="3" max="3" width="28" style="2" customWidth="1"/>
    <col min="4" max="4" width="25.7109375" style="2" customWidth="1"/>
    <col min="5" max="5" width="18.7109375" style="2" customWidth="1"/>
    <col min="6" max="6" width="12" bestFit="1" customWidth="1"/>
    <col min="7" max="7" width="12.5703125" bestFit="1" customWidth="1"/>
  </cols>
  <sheetData>
    <row r="1" spans="1:7" ht="15.75">
      <c r="A1" s="17" t="s">
        <v>97</v>
      </c>
      <c r="B1" s="16" t="str">
        <f>Info!C2</f>
        <v>სს "ვითიბი ბანკი ჯორჯია"</v>
      </c>
    </row>
    <row r="2" spans="1:7" s="21" customFormat="1" ht="15.75" customHeight="1">
      <c r="A2" s="21" t="s">
        <v>98</v>
      </c>
      <c r="B2" s="295">
        <f>'1. key ratios'!B2</f>
        <v>45930</v>
      </c>
    </row>
    <row r="3" spans="1:7" s="21" customFormat="1" ht="15.75" customHeight="1"/>
    <row r="4" spans="1:7" s="21" customFormat="1" ht="15.75" customHeight="1" thickBot="1">
      <c r="A4" s="144" t="s">
        <v>244</v>
      </c>
      <c r="B4" s="145" t="s">
        <v>157</v>
      </c>
      <c r="C4" s="109"/>
      <c r="D4" s="109"/>
      <c r="E4" s="110" t="s">
        <v>76</v>
      </c>
    </row>
    <row r="5" spans="1:7" s="67" customFormat="1" ht="17.649999999999999" customHeight="1">
      <c r="A5" s="215"/>
      <c r="B5" s="216"/>
      <c r="C5" s="108" t="s">
        <v>0</v>
      </c>
      <c r="D5" s="108" t="s">
        <v>1</v>
      </c>
      <c r="E5" s="217" t="s">
        <v>2</v>
      </c>
    </row>
    <row r="6" spans="1:7" s="88" customFormat="1" ht="14.65" customHeight="1">
      <c r="A6" s="218"/>
      <c r="B6" s="842" t="s">
        <v>133</v>
      </c>
      <c r="C6" s="842" t="s">
        <v>824</v>
      </c>
      <c r="D6" s="843" t="s">
        <v>132</v>
      </c>
      <c r="E6" s="844"/>
      <c r="G6"/>
    </row>
    <row r="7" spans="1:7" s="88" customFormat="1" ht="99.6" customHeight="1">
      <c r="A7" s="218"/>
      <c r="B7" s="842"/>
      <c r="C7" s="842"/>
      <c r="D7" s="213" t="s">
        <v>131</v>
      </c>
      <c r="E7" s="214" t="s">
        <v>341</v>
      </c>
      <c r="G7"/>
    </row>
    <row r="8" spans="1:7" s="88" customFormat="1" ht="22.5" customHeight="1">
      <c r="A8" s="423">
        <v>1</v>
      </c>
      <c r="B8" s="363" t="s">
        <v>811</v>
      </c>
      <c r="C8" s="424">
        <v>204592845.81150001</v>
      </c>
      <c r="D8" s="424">
        <v>0</v>
      </c>
      <c r="E8" s="424">
        <v>204592845.81150001</v>
      </c>
      <c r="G8"/>
    </row>
    <row r="9" spans="1:7" s="88" customFormat="1">
      <c r="A9" s="423">
        <v>1.1000000000000001</v>
      </c>
      <c r="B9" s="364" t="s">
        <v>85</v>
      </c>
      <c r="C9" s="424">
        <v>197510224.88429999</v>
      </c>
      <c r="D9" s="424"/>
      <c r="E9" s="424">
        <v>197510224.88429999</v>
      </c>
      <c r="G9"/>
    </row>
    <row r="10" spans="1:7" s="88" customFormat="1">
      <c r="A10" s="423">
        <v>1.2</v>
      </c>
      <c r="B10" s="364" t="s">
        <v>86</v>
      </c>
      <c r="C10" s="424">
        <v>351.36</v>
      </c>
      <c r="D10" s="424"/>
      <c r="E10" s="424">
        <v>351.36</v>
      </c>
      <c r="G10"/>
    </row>
    <row r="11" spans="1:7" s="88" customFormat="1">
      <c r="A11" s="423">
        <v>1.3</v>
      </c>
      <c r="B11" s="364" t="s">
        <v>87</v>
      </c>
      <c r="C11" s="424">
        <v>7082269.5671999995</v>
      </c>
      <c r="D11" s="424"/>
      <c r="E11" s="424">
        <v>7082269.5671999995</v>
      </c>
      <c r="G11"/>
    </row>
    <row r="12" spans="1:7" s="88" customFormat="1">
      <c r="A12" s="423">
        <v>2</v>
      </c>
      <c r="B12" s="365" t="s">
        <v>698</v>
      </c>
      <c r="C12" s="424"/>
      <c r="D12" s="424"/>
      <c r="E12" s="424">
        <v>0</v>
      </c>
      <c r="G12"/>
    </row>
    <row r="13" spans="1:7" s="88" customFormat="1" ht="21">
      <c r="A13" s="423">
        <v>2.1</v>
      </c>
      <c r="B13" s="366" t="s">
        <v>699</v>
      </c>
      <c r="C13" s="424"/>
      <c r="D13" s="424"/>
      <c r="E13" s="424">
        <v>0</v>
      </c>
      <c r="G13"/>
    </row>
    <row r="14" spans="1:7" s="88" customFormat="1" ht="34.15" customHeight="1">
      <c r="A14" s="423">
        <v>3</v>
      </c>
      <c r="B14" s="367" t="s">
        <v>700</v>
      </c>
      <c r="C14" s="424"/>
      <c r="D14" s="424"/>
      <c r="E14" s="424">
        <v>0</v>
      </c>
      <c r="G14"/>
    </row>
    <row r="15" spans="1:7" s="88" customFormat="1" ht="32.65" customHeight="1">
      <c r="A15" s="423">
        <v>4</v>
      </c>
      <c r="B15" s="368" t="s">
        <v>701</v>
      </c>
      <c r="C15" s="424"/>
      <c r="D15" s="424"/>
      <c r="E15" s="424">
        <v>0</v>
      </c>
      <c r="G15"/>
    </row>
    <row r="16" spans="1:7" s="88" customFormat="1" ht="22.9" customHeight="1">
      <c r="A16" s="423">
        <v>5</v>
      </c>
      <c r="B16" s="368" t="s">
        <v>702</v>
      </c>
      <c r="C16" s="424">
        <v>54000</v>
      </c>
      <c r="D16" s="424">
        <v>0</v>
      </c>
      <c r="E16" s="424">
        <v>54000</v>
      </c>
      <c r="G16"/>
    </row>
    <row r="17" spans="1:7" s="88" customFormat="1">
      <c r="A17" s="423">
        <v>5.0999999999999996</v>
      </c>
      <c r="B17" s="369" t="s">
        <v>703</v>
      </c>
      <c r="C17" s="424">
        <v>54000</v>
      </c>
      <c r="D17" s="424"/>
      <c r="E17" s="424">
        <v>54000</v>
      </c>
      <c r="G17"/>
    </row>
    <row r="18" spans="1:7" s="88" customFormat="1">
      <c r="A18" s="423">
        <v>5.2</v>
      </c>
      <c r="B18" s="369" t="s">
        <v>538</v>
      </c>
      <c r="C18" s="424"/>
      <c r="D18" s="424"/>
      <c r="E18" s="424">
        <v>0</v>
      </c>
      <c r="G18"/>
    </row>
    <row r="19" spans="1:7" s="88" customFormat="1">
      <c r="A19" s="423">
        <v>5.3</v>
      </c>
      <c r="B19" s="369" t="s">
        <v>704</v>
      </c>
      <c r="C19" s="424"/>
      <c r="D19" s="424"/>
      <c r="E19" s="424">
        <v>0</v>
      </c>
      <c r="G19"/>
    </row>
    <row r="20" spans="1:7" s="88" customFormat="1" ht="21">
      <c r="A20" s="423">
        <v>6</v>
      </c>
      <c r="B20" s="367" t="s">
        <v>705</v>
      </c>
      <c r="C20" s="424">
        <v>133960285.86515713</v>
      </c>
      <c r="D20" s="424">
        <v>0</v>
      </c>
      <c r="E20" s="424">
        <v>133960285.86515713</v>
      </c>
      <c r="G20"/>
    </row>
    <row r="21" spans="1:7">
      <c r="A21" s="423">
        <v>6.1</v>
      </c>
      <c r="B21" s="369" t="s">
        <v>538</v>
      </c>
      <c r="C21" s="425"/>
      <c r="D21" s="425"/>
      <c r="E21" s="425">
        <v>0</v>
      </c>
    </row>
    <row r="22" spans="1:7">
      <c r="A22" s="423">
        <v>6.2</v>
      </c>
      <c r="B22" s="369" t="s">
        <v>704</v>
      </c>
      <c r="C22" s="425">
        <v>133960285.86515713</v>
      </c>
      <c r="D22" s="425"/>
      <c r="E22" s="425">
        <v>133960285.86515713</v>
      </c>
    </row>
    <row r="23" spans="1:7" ht="21">
      <c r="A23" s="423">
        <v>7</v>
      </c>
      <c r="B23" s="370" t="s">
        <v>706</v>
      </c>
      <c r="C23" s="426"/>
      <c r="D23" s="426"/>
      <c r="E23" s="426">
        <v>0</v>
      </c>
    </row>
    <row r="24" spans="1:7" ht="21">
      <c r="A24" s="423">
        <v>8</v>
      </c>
      <c r="B24" s="371" t="s">
        <v>707</v>
      </c>
      <c r="C24" s="426"/>
      <c r="D24" s="426"/>
      <c r="E24" s="426">
        <v>0</v>
      </c>
    </row>
    <row r="25" spans="1:7">
      <c r="A25" s="423">
        <v>9</v>
      </c>
      <c r="B25" s="368" t="s">
        <v>708</v>
      </c>
      <c r="C25" s="426">
        <v>60494587.259999998</v>
      </c>
      <c r="D25" s="426">
        <v>0</v>
      </c>
      <c r="E25" s="426">
        <v>60494587.259999998</v>
      </c>
    </row>
    <row r="26" spans="1:7">
      <c r="A26" s="423">
        <v>9.1</v>
      </c>
      <c r="B26" s="372" t="s">
        <v>709</v>
      </c>
      <c r="C26" s="426">
        <v>33138780.259999998</v>
      </c>
      <c r="D26" s="426"/>
      <c r="E26" s="426">
        <v>33138780.259999998</v>
      </c>
    </row>
    <row r="27" spans="1:7">
      <c r="A27" s="423">
        <v>9.1999999999999993</v>
      </c>
      <c r="B27" s="372" t="s">
        <v>710</v>
      </c>
      <c r="C27" s="426">
        <v>27355807</v>
      </c>
      <c r="D27" s="426"/>
      <c r="E27" s="426">
        <v>27355807</v>
      </c>
    </row>
    <row r="28" spans="1:7">
      <c r="A28" s="423">
        <v>10</v>
      </c>
      <c r="B28" s="368" t="s">
        <v>36</v>
      </c>
      <c r="C28" s="426">
        <v>856529.25</v>
      </c>
      <c r="D28" s="426">
        <v>856529.25</v>
      </c>
      <c r="E28" s="426">
        <v>0</v>
      </c>
    </row>
    <row r="29" spans="1:7">
      <c r="A29" s="423">
        <v>10.1</v>
      </c>
      <c r="B29" s="372" t="s">
        <v>711</v>
      </c>
      <c r="C29" s="426">
        <v>0</v>
      </c>
      <c r="D29" s="426"/>
      <c r="E29" s="426">
        <v>0</v>
      </c>
    </row>
    <row r="30" spans="1:7">
      <c r="A30" s="423">
        <v>10.199999999999999</v>
      </c>
      <c r="B30" s="372" t="s">
        <v>712</v>
      </c>
      <c r="C30" s="426">
        <v>856529.25</v>
      </c>
      <c r="D30" s="426">
        <v>856529.25</v>
      </c>
      <c r="E30" s="426">
        <v>0</v>
      </c>
    </row>
    <row r="31" spans="1:7">
      <c r="A31" s="423">
        <v>11</v>
      </c>
      <c r="B31" s="368" t="s">
        <v>713</v>
      </c>
      <c r="C31" s="426">
        <v>0</v>
      </c>
      <c r="D31" s="426">
        <v>0</v>
      </c>
      <c r="E31" s="426">
        <v>0</v>
      </c>
    </row>
    <row r="32" spans="1:7">
      <c r="A32" s="423">
        <v>11.1</v>
      </c>
      <c r="B32" s="372" t="s">
        <v>714</v>
      </c>
      <c r="C32" s="426"/>
      <c r="D32" s="426"/>
      <c r="E32" s="426">
        <v>0</v>
      </c>
    </row>
    <row r="33" spans="1:7">
      <c r="A33" s="423">
        <v>11.2</v>
      </c>
      <c r="B33" s="372" t="s">
        <v>715</v>
      </c>
      <c r="C33" s="426"/>
      <c r="D33" s="426"/>
      <c r="E33" s="426">
        <v>0</v>
      </c>
    </row>
    <row r="34" spans="1:7">
      <c r="A34" s="423">
        <v>13</v>
      </c>
      <c r="B34" s="368" t="s">
        <v>88</v>
      </c>
      <c r="C34" s="425">
        <v>42735382.451999612</v>
      </c>
      <c r="D34" s="425"/>
      <c r="E34" s="425">
        <v>42735382.451999612</v>
      </c>
    </row>
    <row r="35" spans="1:7">
      <c r="A35" s="423">
        <v>13.1</v>
      </c>
      <c r="B35" s="373" t="s">
        <v>716</v>
      </c>
      <c r="C35" s="425">
        <v>26496402</v>
      </c>
      <c r="D35" s="425"/>
      <c r="E35" s="425">
        <v>26496402</v>
      </c>
    </row>
    <row r="36" spans="1:7">
      <c r="A36" s="423">
        <v>13.2</v>
      </c>
      <c r="B36" s="373" t="s">
        <v>717</v>
      </c>
      <c r="C36" s="425"/>
      <c r="D36" s="425"/>
      <c r="E36" s="425">
        <v>0</v>
      </c>
    </row>
    <row r="37" spans="1:7" ht="51.75" thickBot="1">
      <c r="A37" s="219"/>
      <c r="B37" s="220" t="s">
        <v>308</v>
      </c>
      <c r="C37" s="180">
        <f>SUM(C8,C12,C14,C15,C16,C20,C23,C24,C25,C28,C31,C34)</f>
        <v>442693630.63865674</v>
      </c>
      <c r="D37" s="180">
        <f t="shared" ref="D37:E37" si="0">SUM(D8,D12,D14,D15,D16,D20,D23,D24,D25,D28,D31,D34)</f>
        <v>856529.25</v>
      </c>
      <c r="E37" s="180">
        <f t="shared" si="0"/>
        <v>441837101.38865674</v>
      </c>
    </row>
    <row r="38" spans="1:7">
      <c r="A38"/>
      <c r="B38"/>
      <c r="C38"/>
      <c r="D38"/>
      <c r="E38"/>
    </row>
    <row r="39" spans="1:7">
      <c r="A39"/>
      <c r="B39"/>
      <c r="C39"/>
      <c r="D39"/>
      <c r="E39"/>
    </row>
    <row r="41" spans="1:7" s="2" customFormat="1">
      <c r="B41" s="33"/>
      <c r="F41"/>
      <c r="G41"/>
    </row>
    <row r="42" spans="1:7" s="2" customFormat="1">
      <c r="B42" s="34"/>
      <c r="F42"/>
      <c r="G42"/>
    </row>
    <row r="43" spans="1:7" s="2" customFormat="1">
      <c r="B43" s="33"/>
      <c r="F43"/>
      <c r="G43"/>
    </row>
    <row r="44" spans="1:7" s="2" customFormat="1">
      <c r="B44" s="33"/>
      <c r="F44"/>
      <c r="G44"/>
    </row>
    <row r="45" spans="1:7" s="2" customFormat="1">
      <c r="B45" s="33"/>
      <c r="F45"/>
      <c r="G45"/>
    </row>
    <row r="46" spans="1:7" s="2" customFormat="1">
      <c r="B46" s="33"/>
      <c r="F46"/>
      <c r="G46"/>
    </row>
    <row r="47" spans="1:7" s="2" customFormat="1">
      <c r="B47" s="33"/>
      <c r="F47"/>
      <c r="G47"/>
    </row>
    <row r="48" spans="1:7" s="2" customFormat="1">
      <c r="B48" s="34"/>
      <c r="F48"/>
      <c r="G48"/>
    </row>
    <row r="49" spans="2:7" s="2" customFormat="1">
      <c r="B49" s="34"/>
      <c r="F49"/>
      <c r="G49"/>
    </row>
    <row r="50" spans="2:7" s="2" customFormat="1">
      <c r="B50" s="34"/>
      <c r="F50"/>
      <c r="G50"/>
    </row>
    <row r="51" spans="2:7" s="2" customFormat="1">
      <c r="B51" s="34"/>
      <c r="F51"/>
      <c r="G51"/>
    </row>
    <row r="52" spans="2:7" s="2" customFormat="1">
      <c r="B52" s="34"/>
      <c r="F52"/>
      <c r="G52"/>
    </row>
    <row r="53" spans="2:7" s="2" customFormat="1">
      <c r="B53" s="34"/>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C6" sqref="C6:C10"/>
    </sheetView>
  </sheetViews>
  <sheetFormatPr defaultRowHeight="15" outlineLevelRow="1"/>
  <cols>
    <col min="1" max="1" width="9.5703125" style="2" bestFit="1" customWidth="1"/>
    <col min="2" max="2" width="114.28515625" style="2" customWidth="1"/>
    <col min="3" max="3" width="18.71093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7" t="s">
        <v>97</v>
      </c>
      <c r="B1" s="16" t="str">
        <f>Info!C2</f>
        <v>სს "ვითიბი ბანკი ჯორჯია"</v>
      </c>
    </row>
    <row r="2" spans="1:6" s="21" customFormat="1" ht="15.75" customHeight="1">
      <c r="A2" s="21" t="s">
        <v>98</v>
      </c>
      <c r="B2" s="295">
        <f>'1. key ratios'!B2</f>
        <v>45930</v>
      </c>
      <c r="C2"/>
      <c r="D2"/>
      <c r="E2"/>
      <c r="F2"/>
    </row>
    <row r="3" spans="1:6" s="21" customFormat="1" ht="15.75" customHeight="1">
      <c r="C3"/>
      <c r="D3"/>
      <c r="E3"/>
      <c r="F3"/>
    </row>
    <row r="4" spans="1:6" s="21" customFormat="1" ht="26.25" thickBot="1">
      <c r="A4" s="21" t="s">
        <v>245</v>
      </c>
      <c r="B4" s="116" t="s">
        <v>160</v>
      </c>
      <c r="C4" s="110" t="s">
        <v>76</v>
      </c>
      <c r="D4"/>
      <c r="E4"/>
      <c r="F4"/>
    </row>
    <row r="5" spans="1:6" ht="26.25">
      <c r="A5" s="111">
        <v>1</v>
      </c>
      <c r="B5" s="112" t="s">
        <v>695</v>
      </c>
      <c r="C5" s="151">
        <f>'7. LI1'!E37</f>
        <v>441837101.38865674</v>
      </c>
    </row>
    <row r="6" spans="1:6" s="101" customFormat="1">
      <c r="A6" s="66">
        <v>2.1</v>
      </c>
      <c r="B6" s="118" t="s">
        <v>829</v>
      </c>
      <c r="C6" s="152">
        <v>192028.98432718188</v>
      </c>
    </row>
    <row r="7" spans="1:6" s="4" customFormat="1" ht="25.5" outlineLevel="1">
      <c r="A7" s="117">
        <v>2.2000000000000002</v>
      </c>
      <c r="B7" s="113" t="s">
        <v>830</v>
      </c>
      <c r="C7" s="153"/>
    </row>
    <row r="8" spans="1:6" s="4" customFormat="1" ht="26.25">
      <c r="A8" s="117">
        <v>3</v>
      </c>
      <c r="B8" s="114" t="s">
        <v>696</v>
      </c>
      <c r="C8" s="154">
        <f>SUM(C5:C7)</f>
        <v>442029130.37298393</v>
      </c>
    </row>
    <row r="9" spans="1:6" s="101" customFormat="1">
      <c r="A9" s="66">
        <v>4</v>
      </c>
      <c r="B9" s="121" t="s">
        <v>158</v>
      </c>
      <c r="C9" s="152"/>
    </row>
    <row r="10" spans="1:6" s="4" customFormat="1" ht="25.5" outlineLevel="1">
      <c r="A10" s="117">
        <v>5.0999999999999996</v>
      </c>
      <c r="B10" s="113" t="s">
        <v>164</v>
      </c>
      <c r="C10" s="153">
        <v>-86254.462329269023</v>
      </c>
    </row>
    <row r="11" spans="1:6" s="4" customFormat="1" ht="25.5" outlineLevel="1">
      <c r="A11" s="117">
        <v>5.2</v>
      </c>
      <c r="B11" s="113" t="s">
        <v>165</v>
      </c>
      <c r="C11" s="153"/>
    </row>
    <row r="12" spans="1:6" s="4" customFormat="1">
      <c r="A12" s="117">
        <v>6</v>
      </c>
      <c r="B12" s="119" t="s">
        <v>996</v>
      </c>
      <c r="C12" s="221"/>
    </row>
    <row r="13" spans="1:6" s="4" customFormat="1" ht="15.75" thickBot="1">
      <c r="A13" s="120">
        <v>7</v>
      </c>
      <c r="B13" s="115" t="s">
        <v>159</v>
      </c>
      <c r="C13" s="155">
        <f>SUM(C8:C12)</f>
        <v>441942875.91065466</v>
      </c>
    </row>
    <row r="15" spans="1:6">
      <c r="B15" s="23"/>
    </row>
    <row r="17" spans="2:9" s="2" customFormat="1">
      <c r="B17" s="35"/>
      <c r="C17"/>
      <c r="D17"/>
      <c r="E17"/>
      <c r="F17"/>
      <c r="G17"/>
      <c r="H17"/>
      <c r="I17"/>
    </row>
    <row r="18" spans="2:9" s="2" customFormat="1">
      <c r="B18" s="32"/>
      <c r="C18"/>
      <c r="D18"/>
      <c r="E18"/>
      <c r="F18"/>
      <c r="G18"/>
      <c r="H18"/>
      <c r="I18"/>
    </row>
    <row r="19" spans="2:9" s="2" customFormat="1">
      <c r="B19" s="32"/>
      <c r="C19"/>
      <c r="D19"/>
      <c r="E19"/>
      <c r="F19"/>
      <c r="G19"/>
      <c r="H19"/>
      <c r="I19"/>
    </row>
    <row r="20" spans="2:9" s="2" customFormat="1">
      <c r="B20" s="34"/>
      <c r="C20"/>
      <c r="D20"/>
      <c r="E20"/>
      <c r="F20"/>
      <c r="G20"/>
      <c r="H20"/>
      <c r="I20"/>
    </row>
    <row r="21" spans="2:9" s="2" customFormat="1">
      <c r="B21" s="33"/>
      <c r="C21"/>
      <c r="D21"/>
      <c r="E21"/>
      <c r="F21"/>
      <c r="G21"/>
      <c r="H21"/>
      <c r="I21"/>
    </row>
    <row r="22" spans="2:9" s="2" customFormat="1">
      <c r="B22" s="34"/>
      <c r="C22"/>
      <c r="D22"/>
      <c r="E22"/>
      <c r="F22"/>
      <c r="G22"/>
      <c r="H22"/>
      <c r="I22"/>
    </row>
    <row r="23" spans="2:9" s="2" customFormat="1">
      <c r="B23" s="33"/>
      <c r="C23"/>
      <c r="D23"/>
      <c r="E23"/>
      <c r="F23"/>
      <c r="G23"/>
      <c r="H23"/>
      <c r="I23"/>
    </row>
    <row r="24" spans="2:9" s="2" customFormat="1">
      <c r="B24" s="33"/>
      <c r="C24"/>
      <c r="D24"/>
      <c r="E24"/>
      <c r="F24"/>
      <c r="G24"/>
      <c r="H24"/>
      <c r="I24"/>
    </row>
    <row r="25" spans="2:9" s="2" customFormat="1">
      <c r="B25" s="33"/>
      <c r="C25"/>
      <c r="D25"/>
      <c r="E25"/>
      <c r="F25"/>
      <c r="G25"/>
      <c r="H25"/>
      <c r="I25"/>
    </row>
    <row r="26" spans="2:9" s="2" customFormat="1">
      <c r="B26" s="33"/>
      <c r="C26"/>
      <c r="D26"/>
      <c r="E26"/>
      <c r="F26"/>
      <c r="G26"/>
      <c r="H26"/>
      <c r="I26"/>
    </row>
    <row r="27" spans="2:9" s="2" customFormat="1">
      <c r="B27" s="33"/>
      <c r="C27"/>
      <c r="D27"/>
      <c r="E27"/>
      <c r="F27"/>
      <c r="G27"/>
      <c r="H27"/>
      <c r="I27"/>
    </row>
    <row r="28" spans="2:9" s="2" customFormat="1">
      <c r="B28" s="34"/>
      <c r="C28"/>
      <c r="D28"/>
      <c r="E28"/>
      <c r="F28"/>
      <c r="G28"/>
      <c r="H28"/>
      <c r="I28"/>
    </row>
    <row r="29" spans="2:9" s="2" customFormat="1">
      <c r="B29" s="34"/>
      <c r="C29"/>
      <c r="D29"/>
      <c r="E29"/>
      <c r="F29"/>
      <c r="G29"/>
      <c r="H29"/>
      <c r="I29"/>
    </row>
    <row r="30" spans="2:9" s="2" customFormat="1">
      <c r="B30" s="34"/>
      <c r="C30"/>
      <c r="D30"/>
      <c r="E30"/>
      <c r="F30"/>
      <c r="G30"/>
      <c r="H30"/>
      <c r="I30"/>
    </row>
    <row r="31" spans="2:9" s="2" customFormat="1">
      <c r="B31" s="34"/>
      <c r="C31"/>
      <c r="D31"/>
      <c r="E31"/>
      <c r="F31"/>
      <c r="G31"/>
      <c r="H31"/>
      <c r="I31"/>
    </row>
    <row r="32" spans="2:9" s="2" customFormat="1">
      <c r="B32" s="34"/>
      <c r="C32"/>
      <c r="D32"/>
      <c r="E32"/>
      <c r="F32"/>
      <c r="G32"/>
      <c r="H32"/>
      <c r="I32"/>
    </row>
    <row r="33" spans="2:9" s="2" customFormat="1">
      <c r="B33" s="34"/>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83CD7958-928F-45CE-A0BA-C7ADC4D7D37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2025-10-29T08:55:44Z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2250bde7-4d65-43cb-a260-e37a11446c04</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